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80-INVESTProj07bNov2023\Database Empirical work7bNov2023\MyPaperPrebound&amp;CBA-ALL-7bNov2023\MyPaperCBAsApts&amp;Hss-22July2023\"/>
    </mc:Choice>
  </mc:AlternateContent>
  <xr:revisionPtr revIDLastSave="0" documentId="13_ncr:1_{50AF02B4-122C-4B94-885D-1921E44E6A09}" xr6:coauthVersionLast="47" xr6:coauthVersionMax="47" xr10:uidLastSave="{00000000-0000-0000-0000-000000000000}"/>
  <bookViews>
    <workbookView xWindow="-120" yWindow="-120" windowWidth="29040" windowHeight="15840" xr2:uid="{76163DE3-EA4E-40C6-82B4-F8760FAB4836}"/>
  </bookViews>
  <sheets>
    <sheet name="MFH57" sheetId="1" r:id="rId1"/>
    <sheet name="GMFH68" sheetId="3" r:id="rId2"/>
    <sheet name="GMFH78" sheetId="2" r:id="rId3"/>
    <sheet name="ZFH48" sheetId="4" r:id="rId4"/>
    <sheet name="EFH68" sheetId="5" r:id="rId5"/>
    <sheet name="EFH78" sheetId="6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6" l="1"/>
  <c r="E60" i="6"/>
  <c r="F57" i="6"/>
  <c r="G52" i="6"/>
  <c r="G61" i="6" s="1"/>
  <c r="F52" i="6"/>
  <c r="E52" i="6"/>
  <c r="E57" i="6" s="1"/>
  <c r="G45" i="6"/>
  <c r="G60" i="6" s="1"/>
  <c r="F45" i="6"/>
  <c r="F60" i="6" s="1"/>
  <c r="E45" i="6"/>
  <c r="D39" i="6"/>
  <c r="F38" i="6"/>
  <c r="G30" i="6"/>
  <c r="F30" i="6"/>
  <c r="F35" i="6" s="1"/>
  <c r="E30" i="6"/>
  <c r="E35" i="6" s="1"/>
  <c r="G23" i="6"/>
  <c r="G35" i="6" s="1"/>
  <c r="F23" i="6"/>
  <c r="E23" i="6"/>
  <c r="G17" i="6"/>
  <c r="G39" i="6" s="1"/>
  <c r="F17" i="6"/>
  <c r="F39" i="6" s="1"/>
  <c r="E17" i="6"/>
  <c r="E39" i="6" s="1"/>
  <c r="D17" i="6"/>
  <c r="G16" i="6"/>
  <c r="G18" i="6" s="1"/>
  <c r="F16" i="6"/>
  <c r="E16" i="6"/>
  <c r="E38" i="6" s="1"/>
  <c r="E40" i="6" s="1"/>
  <c r="G13" i="6"/>
  <c r="F13" i="6"/>
  <c r="E13" i="6"/>
  <c r="D13" i="6"/>
  <c r="G11" i="6"/>
  <c r="F11" i="6"/>
  <c r="E11" i="6"/>
  <c r="D11" i="6"/>
  <c r="G8" i="6"/>
  <c r="F8" i="6"/>
  <c r="E8" i="6"/>
  <c r="D8" i="6"/>
  <c r="G63" i="5"/>
  <c r="F62" i="5"/>
  <c r="G59" i="5"/>
  <c r="E59" i="5"/>
  <c r="G54" i="5"/>
  <c r="F54" i="5"/>
  <c r="F63" i="5" s="1"/>
  <c r="E54" i="5"/>
  <c r="E63" i="5" s="1"/>
  <c r="G47" i="5"/>
  <c r="G62" i="5" s="1"/>
  <c r="F47" i="5"/>
  <c r="F59" i="5" s="1"/>
  <c r="E47" i="5"/>
  <c r="E62" i="5" s="1"/>
  <c r="E41" i="5"/>
  <c r="E42" i="5" s="1"/>
  <c r="G40" i="5"/>
  <c r="E40" i="5"/>
  <c r="E37" i="5"/>
  <c r="G32" i="5"/>
  <c r="G37" i="5" s="1"/>
  <c r="F32" i="5"/>
  <c r="F37" i="5" s="1"/>
  <c r="E32" i="5"/>
  <c r="G25" i="5"/>
  <c r="F25" i="5"/>
  <c r="E25" i="5"/>
  <c r="E20" i="5"/>
  <c r="G19" i="5"/>
  <c r="G41" i="5" s="1"/>
  <c r="G42" i="5" s="1"/>
  <c r="F19" i="5"/>
  <c r="F41" i="5" s="1"/>
  <c r="F42" i="5" s="1"/>
  <c r="E19" i="5"/>
  <c r="D19" i="5"/>
  <c r="D41" i="5" s="1"/>
  <c r="G18" i="5"/>
  <c r="F18" i="5"/>
  <c r="F40" i="5" s="1"/>
  <c r="E18" i="5"/>
  <c r="G14" i="5"/>
  <c r="F14" i="5"/>
  <c r="E14" i="5"/>
  <c r="D14" i="5"/>
  <c r="G12" i="5"/>
  <c r="F12" i="5"/>
  <c r="E12" i="5"/>
  <c r="D12" i="5"/>
  <c r="G9" i="5"/>
  <c r="F9" i="5"/>
  <c r="E9" i="5"/>
  <c r="D9" i="5"/>
  <c r="D8" i="4"/>
  <c r="E8" i="4"/>
  <c r="F8" i="4"/>
  <c r="F12" i="4" s="1"/>
  <c r="G8" i="4"/>
  <c r="G12" i="4" s="1"/>
  <c r="D11" i="4"/>
  <c r="E11" i="4"/>
  <c r="F11" i="4"/>
  <c r="G11" i="4"/>
  <c r="E12" i="4"/>
  <c r="D14" i="4"/>
  <c r="E14" i="4"/>
  <c r="F14" i="4"/>
  <c r="G14" i="4"/>
  <c r="E18" i="4"/>
  <c r="F18" i="4"/>
  <c r="G18" i="4"/>
  <c r="D19" i="4"/>
  <c r="E19" i="4"/>
  <c r="F19" i="4"/>
  <c r="F20" i="4" s="1"/>
  <c r="G19" i="4"/>
  <c r="E25" i="4"/>
  <c r="F25" i="4"/>
  <c r="G25" i="4"/>
  <c r="E32" i="4"/>
  <c r="F32" i="4"/>
  <c r="G32" i="4"/>
  <c r="E40" i="4"/>
  <c r="E41" i="4" s="1"/>
  <c r="F40" i="4"/>
  <c r="F41" i="4" s="1"/>
  <c r="G40" i="4"/>
  <c r="G41" i="4"/>
  <c r="D42" i="4"/>
  <c r="E42" i="4"/>
  <c r="E48" i="4"/>
  <c r="E63" i="4" s="1"/>
  <c r="F48" i="4"/>
  <c r="F63" i="4" s="1"/>
  <c r="G48" i="4"/>
  <c r="G63" i="4" s="1"/>
  <c r="E55" i="4"/>
  <c r="E64" i="4" s="1"/>
  <c r="F55" i="4"/>
  <c r="F64" i="4" s="1"/>
  <c r="G55" i="4"/>
  <c r="G60" i="4" s="1"/>
  <c r="E60" i="4"/>
  <c r="G64" i="4"/>
  <c r="E85" i="3"/>
  <c r="G82" i="3"/>
  <c r="H80" i="3"/>
  <c r="G80" i="3"/>
  <c r="F80" i="3"/>
  <c r="E79" i="3"/>
  <c r="G76" i="3"/>
  <c r="H75" i="3"/>
  <c r="G75" i="3"/>
  <c r="F75" i="3"/>
  <c r="E75" i="3"/>
  <c r="E76" i="3" s="1"/>
  <c r="H74" i="3"/>
  <c r="H76" i="3" s="1"/>
  <c r="G74" i="3"/>
  <c r="F74" i="3"/>
  <c r="F76" i="3" s="1"/>
  <c r="E74" i="3"/>
  <c r="H72" i="3"/>
  <c r="G72" i="3"/>
  <c r="F72" i="3"/>
  <c r="E72" i="3"/>
  <c r="H69" i="3"/>
  <c r="G69" i="3"/>
  <c r="F69" i="3"/>
  <c r="E68" i="3"/>
  <c r="G66" i="3"/>
  <c r="H60" i="3"/>
  <c r="G60" i="3"/>
  <c r="F60" i="3"/>
  <c r="E60" i="3"/>
  <c r="E69" i="3" s="1"/>
  <c r="H52" i="3"/>
  <c r="H68" i="3" s="1"/>
  <c r="G52" i="3"/>
  <c r="G68" i="3" s="1"/>
  <c r="F52" i="3"/>
  <c r="F68" i="3" s="1"/>
  <c r="E52" i="3"/>
  <c r="F44" i="3"/>
  <c r="E44" i="3"/>
  <c r="E46" i="3" s="1"/>
  <c r="D44" i="3"/>
  <c r="E45" i="3" s="1"/>
  <c r="H43" i="3"/>
  <c r="H79" i="3" s="1"/>
  <c r="H81" i="3" s="1"/>
  <c r="G43" i="3"/>
  <c r="G79" i="3" s="1"/>
  <c r="G81" i="3" s="1"/>
  <c r="F43" i="3"/>
  <c r="F79" i="3" s="1"/>
  <c r="F81" i="3" s="1"/>
  <c r="E43" i="3"/>
  <c r="D43" i="3"/>
  <c r="E80" i="3" s="1"/>
  <c r="H41" i="3"/>
  <c r="G41" i="3"/>
  <c r="F41" i="3"/>
  <c r="H35" i="3"/>
  <c r="G35" i="3"/>
  <c r="F35" i="3"/>
  <c r="E35" i="3"/>
  <c r="H27" i="3"/>
  <c r="G27" i="3"/>
  <c r="F27" i="3"/>
  <c r="E27" i="3"/>
  <c r="H20" i="3"/>
  <c r="H21" i="3" s="1"/>
  <c r="G20" i="3"/>
  <c r="F20" i="3"/>
  <c r="E20" i="3"/>
  <c r="D20" i="3"/>
  <c r="H19" i="3"/>
  <c r="G19" i="3"/>
  <c r="G21" i="3" s="1"/>
  <c r="F19" i="3"/>
  <c r="F21" i="3" s="1"/>
  <c r="E19" i="3"/>
  <c r="E21" i="3" s="1"/>
  <c r="D19" i="3"/>
  <c r="D21" i="3" s="1"/>
  <c r="H15" i="3"/>
  <c r="G15" i="3"/>
  <c r="F15" i="3"/>
  <c r="E15" i="3"/>
  <c r="D15" i="3"/>
  <c r="E82" i="3" s="1"/>
  <c r="H8" i="3"/>
  <c r="H7" i="3"/>
  <c r="H91" i="2"/>
  <c r="G91" i="2"/>
  <c r="F91" i="2"/>
  <c r="E91" i="2"/>
  <c r="E84" i="2"/>
  <c r="H80" i="2"/>
  <c r="E80" i="2"/>
  <c r="H76" i="2"/>
  <c r="G76" i="2"/>
  <c r="G77" i="2" s="1"/>
  <c r="F76" i="2"/>
  <c r="F77" i="2" s="1"/>
  <c r="E76" i="2"/>
  <c r="E77" i="2" s="1"/>
  <c r="H75" i="2"/>
  <c r="H77" i="2" s="1"/>
  <c r="G75" i="2"/>
  <c r="F75" i="2"/>
  <c r="E75" i="2"/>
  <c r="H73" i="2"/>
  <c r="G73" i="2"/>
  <c r="F73" i="2"/>
  <c r="E73" i="2"/>
  <c r="H70" i="2"/>
  <c r="F69" i="2"/>
  <c r="E69" i="2"/>
  <c r="H60" i="2"/>
  <c r="G60" i="2"/>
  <c r="G70" i="2" s="1"/>
  <c r="F60" i="2"/>
  <c r="F70" i="2" s="1"/>
  <c r="E60" i="2"/>
  <c r="E70" i="2" s="1"/>
  <c r="H52" i="2"/>
  <c r="H66" i="2" s="1"/>
  <c r="G52" i="2"/>
  <c r="G69" i="2" s="1"/>
  <c r="F52" i="2"/>
  <c r="E52" i="2"/>
  <c r="H46" i="2"/>
  <c r="F46" i="2"/>
  <c r="E46" i="2"/>
  <c r="D46" i="2"/>
  <c r="H43" i="2"/>
  <c r="G43" i="2"/>
  <c r="G80" i="2" s="1"/>
  <c r="F43" i="2"/>
  <c r="F80" i="2" s="1"/>
  <c r="E43" i="2"/>
  <c r="D43" i="2"/>
  <c r="H81" i="2" s="1"/>
  <c r="H40" i="2"/>
  <c r="H34" i="2"/>
  <c r="G34" i="2"/>
  <c r="G40" i="2" s="1"/>
  <c r="F34" i="2"/>
  <c r="F40" i="2" s="1"/>
  <c r="E34" i="2"/>
  <c r="H26" i="2"/>
  <c r="G26" i="2"/>
  <c r="F26" i="2"/>
  <c r="E26" i="2"/>
  <c r="H20" i="2"/>
  <c r="G20" i="2"/>
  <c r="F20" i="2"/>
  <c r="E20" i="2"/>
  <c r="D20" i="2"/>
  <c r="D18" i="2" s="1"/>
  <c r="H19" i="2"/>
  <c r="H18" i="2" s="1"/>
  <c r="G19" i="2"/>
  <c r="F19" i="2"/>
  <c r="E19" i="2"/>
  <c r="D19" i="2"/>
  <c r="G18" i="2"/>
  <c r="F18" i="2"/>
  <c r="E18" i="2"/>
  <c r="G14" i="2"/>
  <c r="F14" i="2"/>
  <c r="E14" i="2"/>
  <c r="D14" i="2"/>
  <c r="H9" i="2"/>
  <c r="H8" i="2"/>
  <c r="H7" i="2"/>
  <c r="H14" i="2" s="1"/>
  <c r="H73" i="1"/>
  <c r="G73" i="1"/>
  <c r="F73" i="1"/>
  <c r="G72" i="1"/>
  <c r="G74" i="1" s="1"/>
  <c r="E72" i="1"/>
  <c r="H68" i="1"/>
  <c r="G68" i="1"/>
  <c r="F68" i="1"/>
  <c r="E68" i="1"/>
  <c r="H67" i="1"/>
  <c r="H69" i="1" s="1"/>
  <c r="G67" i="1"/>
  <c r="G69" i="1" s="1"/>
  <c r="F67" i="1"/>
  <c r="F69" i="1" s="1"/>
  <c r="E67" i="1"/>
  <c r="E69" i="1" s="1"/>
  <c r="H65" i="1"/>
  <c r="G65" i="1"/>
  <c r="F65" i="1"/>
  <c r="E65" i="1"/>
  <c r="H62" i="1"/>
  <c r="G62" i="1"/>
  <c r="F62" i="1"/>
  <c r="E62" i="1"/>
  <c r="H53" i="1"/>
  <c r="G53" i="1"/>
  <c r="F53" i="1"/>
  <c r="E53" i="1"/>
  <c r="H46" i="1"/>
  <c r="H61" i="1" s="1"/>
  <c r="G46" i="1"/>
  <c r="G61" i="1" s="1"/>
  <c r="F46" i="1"/>
  <c r="F58" i="1" s="1"/>
  <c r="E46" i="1"/>
  <c r="E61" i="1" s="1"/>
  <c r="G41" i="1"/>
  <c r="E41" i="1"/>
  <c r="D41" i="1"/>
  <c r="H40" i="1"/>
  <c r="G40" i="1"/>
  <c r="G39" i="1" s="1"/>
  <c r="F40" i="1"/>
  <c r="H38" i="1"/>
  <c r="H72" i="1" s="1"/>
  <c r="H74" i="1" s="1"/>
  <c r="G38" i="1"/>
  <c r="F38" i="1"/>
  <c r="F72" i="1" s="1"/>
  <c r="F74" i="1" s="1"/>
  <c r="E38" i="1"/>
  <c r="D38" i="1"/>
  <c r="E40" i="1" s="1"/>
  <c r="E39" i="1" s="1"/>
  <c r="G35" i="1"/>
  <c r="F35" i="1"/>
  <c r="H30" i="1"/>
  <c r="H35" i="1" s="1"/>
  <c r="G30" i="1"/>
  <c r="F30" i="1"/>
  <c r="E30" i="1"/>
  <c r="H23" i="1"/>
  <c r="G23" i="1"/>
  <c r="F23" i="1"/>
  <c r="E23" i="1"/>
  <c r="H18" i="1"/>
  <c r="H16" i="1" s="1"/>
  <c r="G18" i="1"/>
  <c r="F18" i="1"/>
  <c r="F16" i="1" s="1"/>
  <c r="E18" i="1"/>
  <c r="H17" i="1"/>
  <c r="G17" i="1"/>
  <c r="G16" i="1" s="1"/>
  <c r="F17" i="1"/>
  <c r="E17" i="1"/>
  <c r="E16" i="1" s="1"/>
  <c r="D17" i="1"/>
  <c r="H11" i="1"/>
  <c r="H75" i="1" s="1"/>
  <c r="G11" i="1"/>
  <c r="G76" i="1" s="1"/>
  <c r="F11" i="1"/>
  <c r="F75" i="1" s="1"/>
  <c r="E11" i="1"/>
  <c r="E76" i="1" s="1"/>
  <c r="D11" i="1"/>
  <c r="H76" i="1" s="1"/>
  <c r="F40" i="6" l="1"/>
  <c r="G38" i="6"/>
  <c r="G40" i="6" s="1"/>
  <c r="G57" i="6"/>
  <c r="E18" i="6"/>
  <c r="F18" i="6"/>
  <c r="E61" i="6"/>
  <c r="F20" i="5"/>
  <c r="G20" i="5"/>
  <c r="E37" i="4"/>
  <c r="G20" i="4"/>
  <c r="G37" i="4"/>
  <c r="F60" i="4"/>
  <c r="F42" i="4"/>
  <c r="F43" i="4" s="1"/>
  <c r="E43" i="4"/>
  <c r="F37" i="4"/>
  <c r="E20" i="4"/>
  <c r="G42" i="4"/>
  <c r="G43" i="4" s="1"/>
  <c r="E81" i="3"/>
  <c r="F46" i="3"/>
  <c r="G45" i="3"/>
  <c r="F45" i="3"/>
  <c r="F66" i="3"/>
  <c r="F82" i="3"/>
  <c r="H45" i="3"/>
  <c r="H66" i="3"/>
  <c r="H82" i="3"/>
  <c r="E83" i="3"/>
  <c r="G44" i="3"/>
  <c r="G46" i="3" s="1"/>
  <c r="F83" i="3"/>
  <c r="H44" i="3"/>
  <c r="G83" i="3"/>
  <c r="D45" i="3"/>
  <c r="D46" i="3" s="1"/>
  <c r="H83" i="3"/>
  <c r="H82" i="2"/>
  <c r="G82" i="2"/>
  <c r="D44" i="2"/>
  <c r="H83" i="2"/>
  <c r="E44" i="2"/>
  <c r="F84" i="2"/>
  <c r="D45" i="2"/>
  <c r="G46" i="2"/>
  <c r="G84" i="2"/>
  <c r="E45" i="2"/>
  <c r="H84" i="2"/>
  <c r="H69" i="2"/>
  <c r="F45" i="2"/>
  <c r="F44" i="2" s="1"/>
  <c r="E66" i="2"/>
  <c r="E81" i="2"/>
  <c r="E82" i="2" s="1"/>
  <c r="E83" i="2"/>
  <c r="G45" i="2"/>
  <c r="F66" i="2"/>
  <c r="F81" i="2"/>
  <c r="F82" i="2" s="1"/>
  <c r="F83" i="2"/>
  <c r="H45" i="2"/>
  <c r="H44" i="2" s="1"/>
  <c r="G66" i="2"/>
  <c r="G81" i="2"/>
  <c r="G83" i="2"/>
  <c r="E58" i="1"/>
  <c r="E73" i="1"/>
  <c r="E74" i="1" s="1"/>
  <c r="E75" i="1"/>
  <c r="F41" i="1"/>
  <c r="F39" i="1" s="1"/>
  <c r="F61" i="1"/>
  <c r="F76" i="1"/>
  <c r="G75" i="1"/>
  <c r="G58" i="1"/>
  <c r="H58" i="1"/>
  <c r="D40" i="1"/>
  <c r="D39" i="1" s="1"/>
  <c r="H41" i="1"/>
  <c r="H39" i="1" s="1"/>
  <c r="H46" i="3" l="1"/>
  <c r="G44" i="2"/>
</calcChain>
</file>

<file path=xl/sharedStrings.xml><?xml version="1.0" encoding="utf-8"?>
<sst xmlns="http://schemas.openxmlformats.org/spreadsheetml/2006/main" count="801" uniqueCount="158">
  <si>
    <t>data source:</t>
  </si>
  <si>
    <t>Andreas Enseling, Michael Grafe, Max-Christopher Krapp (2020) Studie über die wirtschaftlichen Auswirkungen verschiedener energetischer Standards in Augsburg. INSTITUT WOHNEN UND UMWELT GmbH.</t>
  </si>
  <si>
    <t>Augsburg</t>
  </si>
  <si>
    <t>cccc</t>
  </si>
  <si>
    <t>Corrected on 03 July 2023</t>
  </si>
  <si>
    <t>Standard</t>
  </si>
  <si>
    <t>Original</t>
  </si>
  <si>
    <t>EH-140</t>
  </si>
  <si>
    <t>EH-100</t>
  </si>
  <si>
    <t xml:space="preserve">EH-70 </t>
  </si>
  <si>
    <t xml:space="preserve">EH-55 </t>
  </si>
  <si>
    <t>Building MFH 57</t>
  </si>
  <si>
    <t xml:space="preserve">System </t>
  </si>
  <si>
    <t xml:space="preserve">Gas </t>
  </si>
  <si>
    <t>Pellets</t>
  </si>
  <si>
    <t xml:space="preserve">Floor area </t>
  </si>
  <si>
    <r>
      <t>m</t>
    </r>
    <r>
      <rPr>
        <b/>
        <vertAlign val="superscript"/>
        <sz val="9"/>
        <color theme="1"/>
        <rFont val="Calibri"/>
        <family val="2"/>
        <scheme val="minor"/>
      </rPr>
      <t>2</t>
    </r>
  </si>
  <si>
    <t>Average U-value</t>
  </si>
  <si>
    <t>W/m²/K</t>
  </si>
  <si>
    <t>Final energy</t>
  </si>
  <si>
    <t>kWh/m²/y)</t>
  </si>
  <si>
    <t>Primary energy (Bedarf)</t>
  </si>
  <si>
    <t>Primary energy (Vebrauch)</t>
  </si>
  <si>
    <t>CO2 intensity</t>
  </si>
  <si>
    <t>kg/m²/y</t>
  </si>
  <si>
    <t>Analysis for 2020 costs</t>
  </si>
  <si>
    <r>
      <t>Cost/m</t>
    </r>
    <r>
      <rPr>
        <b/>
        <vertAlign val="superscript"/>
        <sz val="9"/>
        <color theme="8" tint="-0.499984740745262"/>
        <rFont val="Calibri"/>
        <family val="2"/>
        <scheme val="minor"/>
      </rPr>
      <t>2</t>
    </r>
    <r>
      <rPr>
        <b/>
        <sz val="9"/>
        <color theme="8" tint="-0.499984740745262"/>
        <rFont val="Calibri"/>
        <family val="2"/>
        <scheme val="minor"/>
      </rPr>
      <t xml:space="preserve"> of retrofit at the time</t>
    </r>
  </si>
  <si>
    <r>
      <t>€/m</t>
    </r>
    <r>
      <rPr>
        <b/>
        <vertAlign val="superscript"/>
        <sz val="9"/>
        <color theme="8" tint="-0.499984740745262"/>
        <rFont val="Calibri"/>
        <family val="2"/>
        <scheme val="minor"/>
      </rPr>
      <t>2</t>
    </r>
  </si>
  <si>
    <t>Cost of retrofit (excl anyway costs)</t>
  </si>
  <si>
    <t>€</t>
  </si>
  <si>
    <t>Anyway costs</t>
  </si>
  <si>
    <t>Cost of retrofit (incl anyway costs)</t>
  </si>
  <si>
    <t>Energy price</t>
  </si>
  <si>
    <t>€/kWh</t>
  </si>
  <si>
    <t>Owner Occupier NPV costs  without (p)rebound</t>
  </si>
  <si>
    <t>Owner Occupier NPV benefits without (p)rebound</t>
  </si>
  <si>
    <t>Owner Occupier NPV net gain or loss without (p)rebound</t>
  </si>
  <si>
    <t>Energy price needed for 25-year payback without (p)rebound</t>
  </si>
  <si>
    <t>(€/kWh)</t>
  </si>
  <si>
    <t xml:space="preserve">NPV break-even point in </t>
  </si>
  <si>
    <t>months</t>
  </si>
  <si>
    <t xml:space="preserve">Simple break-even in </t>
  </si>
  <si>
    <t>Owner Occupier NPV costs  with (p)rebound</t>
  </si>
  <si>
    <t>Owner Occupier NPV benefits with (p)rebound</t>
  </si>
  <si>
    <t>Owner Occupier NPV net gain or loss with (p)rebound</t>
  </si>
  <si>
    <t>Energy price needed for 25-year payback with (p)rebound</t>
  </si>
  <si>
    <t>&gt; 90</t>
  </si>
  <si>
    <t>Percentage increase in NPV of net losses</t>
  </si>
  <si>
    <t>(%)</t>
  </si>
  <si>
    <t>Analysis for 2023 costs</t>
  </si>
  <si>
    <r>
      <t>Cost/m</t>
    </r>
    <r>
      <rPr>
        <b/>
        <vertAlign val="superscript"/>
        <sz val="9"/>
        <color rgb="FF940D97"/>
        <rFont val="Calibri"/>
        <family val="2"/>
        <scheme val="minor"/>
      </rPr>
      <t>2</t>
    </r>
    <r>
      <rPr>
        <b/>
        <sz val="9"/>
        <color rgb="FF940D97"/>
        <rFont val="Calibri"/>
        <family val="2"/>
        <scheme val="minor"/>
      </rPr>
      <t xml:space="preserve"> of similar retrofit in mid-2023</t>
    </r>
  </si>
  <si>
    <r>
      <t>€/m</t>
    </r>
    <r>
      <rPr>
        <b/>
        <vertAlign val="superscript"/>
        <sz val="9"/>
        <color rgb="FF940D97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</si>
  <si>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Cost of retrofit (excl anyway costs) no (p)rebound</t>
  </si>
  <si>
    <t>Anyway costs of similar retrofit in mid-2023 no (p)rebound</t>
  </si>
  <si>
    <t>Cost of retrofit (incl anyway costs) no (p)rebound</t>
  </si>
  <si>
    <t>Energy price in mid-2023</t>
  </si>
  <si>
    <t>Owner Occupier NPV costs  no (p)rebound</t>
  </si>
  <si>
    <t>Owner Occupier NPV benefits no (p)rebound</t>
  </si>
  <si>
    <t>Owner Occupier NPV net gain or loss no (p)rebound</t>
  </si>
  <si>
    <t>Energy price needed for 25-year payback no (p)rebound</t>
  </si>
  <si>
    <t>&gt; 900</t>
  </si>
  <si>
    <t>&gt;900</t>
  </si>
  <si>
    <t>NPV losses as percentage of NPV cost, 2023, no (p)rebound</t>
  </si>
  <si>
    <t>NPV losses as percentage of NPV cost, 2023, with (p)rebound</t>
  </si>
  <si>
    <t>Floor area</t>
  </si>
  <si>
    <r>
      <t>m</t>
    </r>
    <r>
      <rPr>
        <vertAlign val="superscript"/>
        <sz val="9"/>
        <color theme="1"/>
        <rFont val="Calibri"/>
        <family val="2"/>
        <scheme val="minor"/>
      </rPr>
      <t>2</t>
    </r>
  </si>
  <si>
    <r>
      <t>NPV of costs and benefits per m</t>
    </r>
    <r>
      <rPr>
        <b/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 xml:space="preserve"> of floor area for 2023 costs, with (p)rebound</t>
    </r>
  </si>
  <si>
    <r>
      <t>NPV of costs / m</t>
    </r>
    <r>
      <rPr>
        <vertAlign val="superscript"/>
        <sz val="9"/>
        <color theme="1"/>
        <rFont val="Calibri"/>
        <family val="2"/>
        <scheme val="minor"/>
      </rPr>
      <t>2</t>
    </r>
  </si>
  <si>
    <r>
      <t>€/m</t>
    </r>
    <r>
      <rPr>
        <vertAlign val="superscript"/>
        <sz val="9"/>
        <color theme="1"/>
        <rFont val="Calibri"/>
        <family val="2"/>
        <scheme val="minor"/>
      </rPr>
      <t>2</t>
    </r>
  </si>
  <si>
    <r>
      <t>NPV of benefits /m</t>
    </r>
    <r>
      <rPr>
        <vertAlign val="superscript"/>
        <sz val="9"/>
        <color theme="1"/>
        <rFont val="Calibri"/>
        <family val="2"/>
        <scheme val="minor"/>
      </rPr>
      <t>2</t>
    </r>
  </si>
  <si>
    <r>
      <t>NPV of gains or losses /m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</si>
  <si>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NPV of raw costs per m</t>
    </r>
    <r>
      <rPr>
        <b/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 xml:space="preserve"> of floor area for 2023 costs, with (p)rebound</t>
    </r>
  </si>
  <si>
    <r>
      <t>Total costs /m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</si>
  <si>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Anyway costs/m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</si>
  <si>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Energy-efficiency costs /m</t>
    </r>
    <r>
      <rPr>
        <b/>
        <vertAlign val="superscript"/>
        <sz val="9"/>
        <color theme="1"/>
        <rFont val="Calibri"/>
        <family val="2"/>
        <scheme val="minor"/>
      </rPr>
      <t>2</t>
    </r>
  </si>
  <si>
    <t>Discounted Cost of undiscounted energy saved</t>
  </si>
  <si>
    <t>Discounted Cost of undiscounted CO2 abated</t>
  </si>
  <si>
    <t>€/tCO2</t>
  </si>
  <si>
    <t>Building GMFH 78</t>
  </si>
  <si>
    <t>Heat Pump</t>
  </si>
  <si>
    <t>m2</t>
  </si>
  <si>
    <t>kWh/m²/y</t>
  </si>
  <si>
    <t>CO2</t>
  </si>
  <si>
    <t>CO2 for gas equiv</t>
  </si>
  <si>
    <t>Cost of retrofit</t>
  </si>
  <si>
    <r>
      <t>€/m</t>
    </r>
    <r>
      <rPr>
        <b/>
        <vertAlign val="superscript"/>
        <sz val="9"/>
        <color theme="1"/>
        <rFont val="Calibri"/>
        <family val="2"/>
        <scheme val="minor"/>
      </rPr>
      <t>2</t>
    </r>
  </si>
  <si>
    <t>Subsidies</t>
  </si>
  <si>
    <t>Interest rate</t>
  </si>
  <si>
    <t>%</t>
  </si>
  <si>
    <t>(p)rebound effect (-ve if prebound)</t>
  </si>
  <si>
    <t>Primary energy (Verbrauch)</t>
  </si>
  <si>
    <t>Energy price pre-retrofit</t>
  </si>
  <si>
    <t>Note: this doesn't work for a change of energy carrier</t>
  </si>
  <si>
    <t>NEW</t>
  </si>
  <si>
    <t>Energy price post-retrofit</t>
  </si>
  <si>
    <t>Post-ret energy price needed for payback without (p)rebound</t>
  </si>
  <si>
    <t xml:space="preserve">never </t>
  </si>
  <si>
    <t>never</t>
  </si>
  <si>
    <t>Pre-ret Energy price in mid-2023</t>
  </si>
  <si>
    <t>Post-ret energy price in mid-2023</t>
  </si>
  <si>
    <t>^^^^</t>
  </si>
  <si>
    <t>Pre-ret energy price needed for payback without (p)rebound</t>
  </si>
  <si>
    <t>Policy label of energy efficieny standard</t>
  </si>
  <si>
    <r>
      <rPr>
        <i/>
        <sz val="10"/>
        <color theme="1"/>
        <rFont val="Calibri"/>
        <family val="2"/>
        <scheme val="minor"/>
      </rPr>
      <t>Bedarf</t>
    </r>
    <r>
      <rPr>
        <sz val="10"/>
        <color theme="1"/>
        <rFont val="Calibri"/>
        <family val="2"/>
        <scheme val="minor"/>
      </rPr>
      <t xml:space="preserve"> (official energy efficiency rating)</t>
    </r>
  </si>
  <si>
    <r>
      <t>kWh/m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/y</t>
    </r>
  </si>
  <si>
    <t>various, generally &gt; 140</t>
  </si>
  <si>
    <r>
      <t xml:space="preserve">Likely </t>
    </r>
    <r>
      <rPr>
        <i/>
        <sz val="10"/>
        <color theme="1"/>
        <rFont val="Calibri"/>
        <family val="2"/>
        <scheme val="minor"/>
      </rPr>
      <t>Verbrouch</t>
    </r>
    <r>
      <rPr>
        <sz val="10"/>
        <color theme="1"/>
        <rFont val="Calibri"/>
        <family val="2"/>
        <scheme val="minor"/>
      </rPr>
      <t xml:space="preserve"> (actual energy consumption)</t>
    </r>
  </si>
  <si>
    <t>various, generally &lt; 115</t>
  </si>
  <si>
    <t>Building GMFH 68</t>
  </si>
  <si>
    <t>Heat pump</t>
  </si>
  <si>
    <t>Primary energy (without p/rebound)</t>
  </si>
  <si>
    <t>Primary energy (Verbrauch) with (p)rebound</t>
  </si>
  <si>
    <t>Cost/m2 of retrofit at the time</t>
  </si>
  <si>
    <t>€/m2</t>
  </si>
  <si>
    <t>Pre-ret energy price needed for payback with (p)rebound</t>
  </si>
  <si>
    <t>Cost/m2 of retrofit estimated for 2023</t>
  </si>
  <si>
    <t>Percentage increase in NPV of net losses (or % reduction in gain)</t>
  </si>
  <si>
    <t>CO2 savings in 24 years (from tool)</t>
  </si>
  <si>
    <t>tCO2</t>
  </si>
  <si>
    <t>Hence Discounted Cost of undiscounted CO2 abated</t>
  </si>
  <si>
    <t>CORRECT 02 July 2023</t>
  </si>
  <si>
    <t>CORRECT 03 July 2023</t>
  </si>
  <si>
    <t>EH-85</t>
  </si>
  <si>
    <t>EH-70</t>
  </si>
  <si>
    <t>EH-55</t>
  </si>
  <si>
    <t>Building type 1.  ZFH48</t>
  </si>
  <si>
    <t>Years built</t>
  </si>
  <si>
    <t>1919-1948</t>
  </si>
  <si>
    <t>Thickness of wall insulation</t>
  </si>
  <si>
    <t>cm</t>
  </si>
  <si>
    <t>Primary energy</t>
  </si>
  <si>
    <t>Energy efficiency costs in 2021</t>
  </si>
  <si>
    <t>Anyway costs in 2021</t>
  </si>
  <si>
    <t>Total costs in 2021</t>
  </si>
  <si>
    <t>Marginal cost of CO2 abatement</t>
  </si>
  <si>
    <t xml:space="preserve">(P)rebound effect </t>
  </si>
  <si>
    <t>Primary energy with (p)rebound</t>
  </si>
  <si>
    <t>Analysis for 2021 costs</t>
  </si>
  <si>
    <r>
      <t>Cost/m</t>
    </r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of retrofit at the time</t>
    </r>
  </si>
  <si>
    <r>
      <t xml:space="preserve">Owner Occupier NPV costs  </t>
    </r>
    <r>
      <rPr>
        <b/>
        <sz val="9"/>
        <color theme="1"/>
        <rFont val="Calibri"/>
        <family val="2"/>
        <scheme val="minor"/>
      </rPr>
      <t>without (p)rebound</t>
    </r>
  </si>
  <si>
    <t>Months to NPV payback</t>
  </si>
  <si>
    <t>Months to simple payback</t>
  </si>
  <si>
    <r>
      <t xml:space="preserve">Owner Occupier NPV costs  </t>
    </r>
    <r>
      <rPr>
        <b/>
        <sz val="9"/>
        <color theme="1"/>
        <rFont val="Calibri"/>
        <family val="2"/>
        <scheme val="minor"/>
      </rPr>
      <t>with (p)rebound</t>
    </r>
  </si>
  <si>
    <t>Cost/m2 of retrofit adjusted for today's construction prices</t>
  </si>
  <si>
    <t>Energy price mid-2023</t>
  </si>
  <si>
    <r>
      <t xml:space="preserve">Owner Occupier NPV costs </t>
    </r>
    <r>
      <rPr>
        <b/>
        <sz val="9"/>
        <color theme="1"/>
        <rFont val="Calibri"/>
        <family val="2"/>
        <scheme val="minor"/>
      </rPr>
      <t xml:space="preserve"> without (p)rebound</t>
    </r>
  </si>
  <si>
    <r>
      <t xml:space="preserve">Owner Occupier NPV costs </t>
    </r>
    <r>
      <rPr>
        <b/>
        <sz val="9"/>
        <color theme="1"/>
        <rFont val="Calibri"/>
        <family val="2"/>
        <scheme val="minor"/>
      </rPr>
      <t xml:space="preserve"> with (p)rebound</t>
    </r>
  </si>
  <si>
    <t>Correct 07 July 2023</t>
  </si>
  <si>
    <t>Hinz E, Enseling A (2021) Gutachten für den Verbraucherzentrale Bundesverband:
„Spezifische Kosten für die energietechnische Modernisie-rung im Gebäudebestand in Abhängigkeit des Effizienzstan-dards“ Darmstadt: IWU. https://www.vzbv.de/sites/default/files/2021-09/21-08-10_VZBV_Gutachten_Bericht_Hinz.pdf</t>
  </si>
  <si>
    <t>Model buildings</t>
  </si>
  <si>
    <t>Building type 2.  EFH68</t>
  </si>
  <si>
    <t>1958-1968</t>
  </si>
  <si>
    <t xml:space="preserve">&gt; 900 </t>
  </si>
  <si>
    <t>Correct 09 July 2023</t>
  </si>
  <si>
    <t>Correct 10 July 2023</t>
  </si>
  <si>
    <t>Building type 3.  EFH78</t>
  </si>
  <si>
    <t>1959-1978</t>
  </si>
  <si>
    <t>Data 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</si>
</sst>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407]"/>
    <numFmt numFmtId="165" formatCode="#,##0.000"/>
    <numFmt numFmtId="166" formatCode="#,##0.0"/>
    <numFmt numFmtId="167" formatCode="0.0"/>
    <numFmt numFmtId="168" formatCode="#,##0\ &quot;€&quot;"/>
    <numFmt numFmtId="169" formatCode="0.000"/>
    <numFmt numFmtId="170" formatCode="#,##0.00\ [$€-407]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vertAlign val="superscript"/>
      <sz val="9"/>
      <color theme="8" tint="-0.499984740745262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sz val="9"/>
      <color rgb="FF940D97"/>
      <name val="Calibri"/>
      <family val="2"/>
      <scheme val="minor"/>
    </font>
    <font>
      <b/>
      <vertAlign val="superscript"/>
      <sz val="9"/>
      <color rgb="FF940D97"/>
      <name val="Calibri"/>
      <family val="2"/>
      <scheme val="minor"/>
    </font>
    <font>
      <b/>
      <sz val="9"/>
      <color rgb="FFC0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9"/>
      <color rgb="FF00206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2" borderId="0" xfId="0" applyFont="1" applyFill="1"/>
    <xf numFmtId="0" fontId="2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0" fontId="6" fillId="3" borderId="9" xfId="0" applyFont="1" applyFill="1" applyBorder="1"/>
    <xf numFmtId="0" fontId="2" fillId="3" borderId="10" xfId="0" applyFont="1" applyFill="1" applyBorder="1"/>
    <xf numFmtId="0" fontId="4" fillId="3" borderId="10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164" fontId="6" fillId="3" borderId="11" xfId="0" applyNumberFormat="1" applyFont="1" applyFill="1" applyBorder="1"/>
    <xf numFmtId="164" fontId="6" fillId="3" borderId="12" xfId="0" applyNumberFormat="1" applyFont="1" applyFill="1" applyBorder="1"/>
    <xf numFmtId="165" fontId="6" fillId="3" borderId="11" xfId="0" applyNumberFormat="1" applyFont="1" applyFill="1" applyBorder="1"/>
    <xf numFmtId="165" fontId="6" fillId="3" borderId="12" xfId="0" applyNumberFormat="1" applyFont="1" applyFill="1" applyBorder="1"/>
    <xf numFmtId="3" fontId="6" fillId="3" borderId="11" xfId="0" applyNumberFormat="1" applyFont="1" applyFill="1" applyBorder="1"/>
    <xf numFmtId="3" fontId="6" fillId="3" borderId="12" xfId="0" applyNumberFormat="1" applyFont="1" applyFill="1" applyBorder="1"/>
    <xf numFmtId="166" fontId="6" fillId="3" borderId="11" xfId="0" applyNumberFormat="1" applyFont="1" applyFill="1" applyBorder="1"/>
    <xf numFmtId="167" fontId="8" fillId="3" borderId="11" xfId="0" applyNumberFormat="1" applyFont="1" applyFill="1" applyBorder="1"/>
    <xf numFmtId="166" fontId="6" fillId="3" borderId="12" xfId="0" applyNumberFormat="1" applyFont="1" applyFill="1" applyBorder="1"/>
    <xf numFmtId="0" fontId="9" fillId="3" borderId="10" xfId="0" applyFont="1" applyFill="1" applyBorder="1"/>
    <xf numFmtId="0" fontId="9" fillId="3" borderId="8" xfId="0" applyFont="1" applyFill="1" applyBorder="1"/>
    <xf numFmtId="167" fontId="9" fillId="3" borderId="11" xfId="0" applyNumberFormat="1" applyFont="1" applyFill="1" applyBorder="1"/>
    <xf numFmtId="0" fontId="9" fillId="3" borderId="11" xfId="0" applyFont="1" applyFill="1" applyBorder="1"/>
    <xf numFmtId="168" fontId="9" fillId="3" borderId="11" xfId="0" applyNumberFormat="1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2" fontId="11" fillId="3" borderId="11" xfId="0" applyNumberFormat="1" applyFont="1" applyFill="1" applyBorder="1"/>
    <xf numFmtId="164" fontId="9" fillId="3" borderId="11" xfId="0" applyNumberFormat="1" applyFont="1" applyFill="1" applyBorder="1"/>
    <xf numFmtId="164" fontId="9" fillId="3" borderId="12" xfId="0" applyNumberFormat="1" applyFont="1" applyFill="1" applyBorder="1"/>
    <xf numFmtId="165" fontId="9" fillId="3" borderId="11" xfId="0" applyNumberFormat="1" applyFont="1" applyFill="1" applyBorder="1"/>
    <xf numFmtId="165" fontId="9" fillId="3" borderId="12" xfId="0" applyNumberFormat="1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164" fontId="8" fillId="3" borderId="11" xfId="0" applyNumberFormat="1" applyFont="1" applyFill="1" applyBorder="1"/>
    <xf numFmtId="164" fontId="8" fillId="3" borderId="12" xfId="0" applyNumberFormat="1" applyFont="1" applyFill="1" applyBorder="1"/>
    <xf numFmtId="169" fontId="8" fillId="3" borderId="11" xfId="0" applyNumberFormat="1" applyFont="1" applyFill="1" applyBorder="1"/>
    <xf numFmtId="169" fontId="8" fillId="3" borderId="12" xfId="0" applyNumberFormat="1" applyFont="1" applyFill="1" applyBorder="1"/>
    <xf numFmtId="167" fontId="8" fillId="3" borderId="12" xfId="0" applyNumberFormat="1" applyFont="1" applyFill="1" applyBorder="1"/>
    <xf numFmtId="0" fontId="4" fillId="3" borderId="13" xfId="0" applyFont="1" applyFill="1" applyBorder="1"/>
    <xf numFmtId="0" fontId="4" fillId="3" borderId="14" xfId="0" applyFont="1" applyFill="1" applyBorder="1"/>
    <xf numFmtId="169" fontId="6" fillId="3" borderId="14" xfId="0" applyNumberFormat="1" applyFont="1" applyFill="1" applyBorder="1"/>
    <xf numFmtId="169" fontId="6" fillId="3" borderId="15" xfId="0" applyNumberFormat="1" applyFont="1" applyFill="1" applyBorder="1"/>
    <xf numFmtId="0" fontId="4" fillId="0" borderId="0" xfId="0" applyFont="1"/>
    <xf numFmtId="169" fontId="6" fillId="0" borderId="0" xfId="0" applyNumberFormat="1" applyFont="1"/>
    <xf numFmtId="167" fontId="2" fillId="3" borderId="8" xfId="0" applyNumberFormat="1" applyFont="1" applyFill="1" applyBorder="1"/>
    <xf numFmtId="0" fontId="6" fillId="0" borderId="0" xfId="0" applyFont="1"/>
    <xf numFmtId="164" fontId="6" fillId="0" borderId="0" xfId="0" applyNumberFormat="1" applyFont="1"/>
    <xf numFmtId="0" fontId="4" fillId="4" borderId="8" xfId="0" applyFont="1" applyFill="1" applyBorder="1"/>
    <xf numFmtId="0" fontId="6" fillId="4" borderId="8" xfId="0" applyFont="1" applyFill="1" applyBorder="1"/>
    <xf numFmtId="0" fontId="2" fillId="4" borderId="8" xfId="0" applyFont="1" applyFill="1" applyBorder="1"/>
    <xf numFmtId="0" fontId="4" fillId="4" borderId="8" xfId="0" applyFont="1" applyFill="1" applyBorder="1" applyAlignment="1">
      <alignment wrapText="1"/>
    </xf>
    <xf numFmtId="164" fontId="2" fillId="4" borderId="8" xfId="0" applyNumberFormat="1" applyFont="1" applyFill="1" applyBorder="1"/>
    <xf numFmtId="164" fontId="4" fillId="4" borderId="8" xfId="0" applyNumberFormat="1" applyFont="1" applyFill="1" applyBorder="1"/>
    <xf numFmtId="167" fontId="11" fillId="4" borderId="8" xfId="0" applyNumberFormat="1" applyFont="1" applyFill="1" applyBorder="1"/>
    <xf numFmtId="168" fontId="2" fillId="4" borderId="8" xfId="0" applyNumberFormat="1" applyFont="1" applyFill="1" applyBorder="1"/>
    <xf numFmtId="168" fontId="4" fillId="4" borderId="8" xfId="0" applyNumberFormat="1" applyFont="1" applyFill="1" applyBorder="1"/>
    <xf numFmtId="165" fontId="4" fillId="4" borderId="8" xfId="0" applyNumberFormat="1" applyFont="1" applyFill="1" applyBorder="1"/>
    <xf numFmtId="0" fontId="11" fillId="0" borderId="8" xfId="0" applyFont="1" applyBorder="1"/>
    <xf numFmtId="0" fontId="13" fillId="0" borderId="8" xfId="0" applyFont="1" applyBorder="1"/>
    <xf numFmtId="1" fontId="11" fillId="0" borderId="8" xfId="0" applyNumberFormat="1" applyFont="1" applyBorder="1"/>
    <xf numFmtId="167" fontId="11" fillId="0" borderId="0" xfId="0" applyNumberFormat="1" applyFont="1"/>
    <xf numFmtId="167" fontId="4" fillId="0" borderId="0" xfId="0" applyNumberFormat="1" applyFont="1"/>
    <xf numFmtId="1" fontId="4" fillId="0" borderId="0" xfId="0" applyNumberFormat="1" applyFont="1"/>
    <xf numFmtId="0" fontId="11" fillId="0" borderId="0" xfId="0" applyFont="1"/>
    <xf numFmtId="1" fontId="11" fillId="0" borderId="0" xfId="0" applyNumberFormat="1" applyFont="1"/>
    <xf numFmtId="0" fontId="4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2" fillId="5" borderId="9" xfId="0" applyFont="1" applyFill="1" applyBorder="1"/>
    <xf numFmtId="0" fontId="4" fillId="5" borderId="7" xfId="0" applyFont="1" applyFill="1" applyBorder="1"/>
    <xf numFmtId="0" fontId="4" fillId="5" borderId="8" xfId="0" applyFont="1" applyFill="1" applyBorder="1"/>
    <xf numFmtId="167" fontId="11" fillId="5" borderId="9" xfId="0" applyNumberFormat="1" applyFont="1" applyFill="1" applyBorder="1"/>
    <xf numFmtId="167" fontId="2" fillId="5" borderId="9" xfId="0" applyNumberFormat="1" applyFont="1" applyFill="1" applyBorder="1"/>
    <xf numFmtId="0" fontId="4" fillId="5" borderId="10" xfId="0" applyFont="1" applyFill="1" applyBorder="1"/>
    <xf numFmtId="0" fontId="4" fillId="5" borderId="11" xfId="0" applyFont="1" applyFill="1" applyBorder="1"/>
    <xf numFmtId="0" fontId="2" fillId="5" borderId="11" xfId="0" applyFont="1" applyFill="1" applyBorder="1"/>
    <xf numFmtId="1" fontId="4" fillId="5" borderId="11" xfId="0" applyNumberFormat="1" applyFont="1" applyFill="1" applyBorder="1"/>
    <xf numFmtId="1" fontId="4" fillId="5" borderId="12" xfId="0" applyNumberFormat="1" applyFont="1" applyFill="1" applyBorder="1"/>
    <xf numFmtId="0" fontId="11" fillId="5" borderId="7" xfId="0" applyFont="1" applyFill="1" applyBorder="1"/>
    <xf numFmtId="0" fontId="11" fillId="5" borderId="8" xfId="0" applyFont="1" applyFill="1" applyBorder="1"/>
    <xf numFmtId="1" fontId="11" fillId="5" borderId="8" xfId="0" applyNumberFormat="1" applyFont="1" applyFill="1" applyBorder="1"/>
    <xf numFmtId="1" fontId="11" fillId="5" borderId="9" xfId="0" applyNumberFormat="1" applyFont="1" applyFill="1" applyBorder="1"/>
    <xf numFmtId="167" fontId="11" fillId="5" borderId="8" xfId="0" applyNumberFormat="1" applyFont="1" applyFill="1" applyBorder="1"/>
    <xf numFmtId="0" fontId="11" fillId="5" borderId="10" xfId="0" applyFont="1" applyFill="1" applyBorder="1"/>
    <xf numFmtId="0" fontId="11" fillId="5" borderId="11" xfId="0" applyFont="1" applyFill="1" applyBorder="1"/>
    <xf numFmtId="0" fontId="6" fillId="5" borderId="8" xfId="0" applyFont="1" applyFill="1" applyBorder="1"/>
    <xf numFmtId="0" fontId="6" fillId="5" borderId="9" xfId="0" applyFont="1" applyFill="1" applyBorder="1"/>
    <xf numFmtId="3" fontId="6" fillId="6" borderId="11" xfId="0" applyNumberFormat="1" applyFont="1" applyFill="1" applyBorder="1"/>
    <xf numFmtId="3" fontId="6" fillId="6" borderId="9" xfId="0" applyNumberFormat="1" applyFont="1" applyFill="1" applyBorder="1"/>
    <xf numFmtId="0" fontId="6" fillId="5" borderId="10" xfId="0" applyFont="1" applyFill="1" applyBorder="1"/>
    <xf numFmtId="0" fontId="6" fillId="5" borderId="11" xfId="0" applyFont="1" applyFill="1" applyBorder="1"/>
    <xf numFmtId="168" fontId="6" fillId="5" borderId="8" xfId="0" applyNumberFormat="1" applyFont="1" applyFill="1" applyBorder="1"/>
    <xf numFmtId="168" fontId="6" fillId="5" borderId="9" xfId="0" applyNumberFormat="1" applyFont="1" applyFill="1" applyBorder="1"/>
    <xf numFmtId="168" fontId="6" fillId="5" borderId="11" xfId="0" applyNumberFormat="1" applyFont="1" applyFill="1" applyBorder="1"/>
    <xf numFmtId="168" fontId="6" fillId="5" borderId="12" xfId="0" applyNumberFormat="1" applyFont="1" applyFill="1" applyBorder="1"/>
    <xf numFmtId="0" fontId="6" fillId="5" borderId="12" xfId="0" applyFont="1" applyFill="1" applyBorder="1"/>
    <xf numFmtId="0" fontId="2" fillId="2" borderId="0" xfId="0" applyFont="1" applyFill="1"/>
    <xf numFmtId="0" fontId="6" fillId="2" borderId="10" xfId="0" applyFont="1" applyFill="1" applyBorder="1"/>
    <xf numFmtId="0" fontId="6" fillId="2" borderId="8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164" fontId="6" fillId="5" borderId="11" xfId="0" applyNumberFormat="1" applyFont="1" applyFill="1" applyBorder="1"/>
    <xf numFmtId="164" fontId="6" fillId="5" borderId="12" xfId="0" applyNumberFormat="1" applyFont="1" applyFill="1" applyBorder="1"/>
    <xf numFmtId="164" fontId="6" fillId="5" borderId="9" xfId="0" applyNumberFormat="1" applyFont="1" applyFill="1" applyBorder="1"/>
    <xf numFmtId="165" fontId="11" fillId="5" borderId="11" xfId="0" applyNumberFormat="1" applyFont="1" applyFill="1" applyBorder="1"/>
    <xf numFmtId="165" fontId="6" fillId="5" borderId="11" xfId="0" applyNumberFormat="1" applyFont="1" applyFill="1" applyBorder="1"/>
    <xf numFmtId="165" fontId="6" fillId="5" borderId="12" xfId="0" applyNumberFormat="1" applyFont="1" applyFill="1" applyBorder="1"/>
    <xf numFmtId="165" fontId="11" fillId="2" borderId="11" xfId="0" applyNumberFormat="1" applyFont="1" applyFill="1" applyBorder="1"/>
    <xf numFmtId="165" fontId="6" fillId="2" borderId="11" xfId="0" applyNumberFormat="1" applyFont="1" applyFill="1" applyBorder="1"/>
    <xf numFmtId="165" fontId="6" fillId="2" borderId="12" xfId="0" applyNumberFormat="1" applyFont="1" applyFill="1" applyBorder="1"/>
    <xf numFmtId="3" fontId="11" fillId="2" borderId="11" xfId="0" applyNumberFormat="1" applyFont="1" applyFill="1" applyBorder="1"/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3" fontId="6" fillId="5" borderId="11" xfId="0" applyNumberFormat="1" applyFont="1" applyFill="1" applyBorder="1"/>
    <xf numFmtId="3" fontId="6" fillId="5" borderId="12" xfId="0" applyNumberFormat="1" applyFont="1" applyFill="1" applyBorder="1"/>
    <xf numFmtId="0" fontId="9" fillId="5" borderId="11" xfId="0" applyFont="1" applyFill="1" applyBorder="1"/>
    <xf numFmtId="4" fontId="9" fillId="4" borderId="11" xfId="0" applyNumberFormat="1" applyFont="1" applyFill="1" applyBorder="1"/>
    <xf numFmtId="4" fontId="9" fillId="5" borderId="11" xfId="0" applyNumberFormat="1" applyFont="1" applyFill="1" applyBorder="1"/>
    <xf numFmtId="4" fontId="9" fillId="5" borderId="12" xfId="0" applyNumberFormat="1" applyFont="1" applyFill="1" applyBorder="1"/>
    <xf numFmtId="164" fontId="9" fillId="5" borderId="11" xfId="0" applyNumberFormat="1" applyFont="1" applyFill="1" applyBorder="1"/>
    <xf numFmtId="164" fontId="9" fillId="5" borderId="12" xfId="0" applyNumberFormat="1" applyFont="1" applyFill="1" applyBorder="1"/>
    <xf numFmtId="0" fontId="9" fillId="5" borderId="10" xfId="0" applyFont="1" applyFill="1" applyBorder="1"/>
    <xf numFmtId="0" fontId="9" fillId="5" borderId="8" xfId="0" applyFont="1" applyFill="1" applyBorder="1"/>
    <xf numFmtId="1" fontId="9" fillId="5" borderId="11" xfId="0" applyNumberFormat="1" applyFont="1" applyFill="1" applyBorder="1"/>
    <xf numFmtId="1" fontId="9" fillId="5" borderId="12" xfId="0" applyNumberFormat="1" applyFont="1" applyFill="1" applyBorder="1"/>
    <xf numFmtId="0" fontId="9" fillId="2" borderId="10" xfId="0" applyFont="1" applyFill="1" applyBorder="1"/>
    <xf numFmtId="0" fontId="9" fillId="2" borderId="11" xfId="0" applyFont="1" applyFill="1" applyBorder="1"/>
    <xf numFmtId="170" fontId="9" fillId="2" borderId="12" xfId="0" applyNumberFormat="1" applyFont="1" applyFill="1" applyBorder="1"/>
    <xf numFmtId="164" fontId="9" fillId="5" borderId="8" xfId="0" applyNumberFormat="1" applyFont="1" applyFill="1" applyBorder="1"/>
    <xf numFmtId="0" fontId="8" fillId="5" borderId="11" xfId="0" applyFont="1" applyFill="1" applyBorder="1"/>
    <xf numFmtId="164" fontId="8" fillId="5" borderId="11" xfId="0" applyNumberFormat="1" applyFont="1" applyFill="1" applyBorder="1"/>
    <xf numFmtId="164" fontId="8" fillId="5" borderId="12" xfId="0" applyNumberFormat="1" applyFont="1" applyFill="1" applyBorder="1"/>
    <xf numFmtId="165" fontId="8" fillId="5" borderId="11" xfId="0" applyNumberFormat="1" applyFont="1" applyFill="1" applyBorder="1"/>
    <xf numFmtId="165" fontId="8" fillId="5" borderId="12" xfId="0" applyNumberFormat="1" applyFont="1" applyFill="1" applyBorder="1"/>
    <xf numFmtId="0" fontId="8" fillId="5" borderId="10" xfId="0" applyFont="1" applyFill="1" applyBorder="1"/>
    <xf numFmtId="169" fontId="8" fillId="5" borderId="11" xfId="0" applyNumberFormat="1" applyFont="1" applyFill="1" applyBorder="1"/>
    <xf numFmtId="169" fontId="6" fillId="5" borderId="11" xfId="0" applyNumberFormat="1" applyFont="1" applyFill="1" applyBorder="1"/>
    <xf numFmtId="0" fontId="6" fillId="5" borderId="7" xfId="0" applyFont="1" applyFill="1" applyBorder="1"/>
    <xf numFmtId="167" fontId="8" fillId="4" borderId="11" xfId="0" applyNumberFormat="1" applyFont="1" applyFill="1" applyBorder="1"/>
    <xf numFmtId="167" fontId="8" fillId="5" borderId="11" xfId="0" applyNumberFormat="1" applyFont="1" applyFill="1" applyBorder="1"/>
    <xf numFmtId="167" fontId="8" fillId="5" borderId="12" xfId="0" applyNumberFormat="1" applyFont="1" applyFill="1" applyBorder="1"/>
    <xf numFmtId="0" fontId="4" fillId="5" borderId="13" xfId="0" applyFont="1" applyFill="1" applyBorder="1"/>
    <xf numFmtId="0" fontId="4" fillId="5" borderId="14" xfId="0" applyFont="1" applyFill="1" applyBorder="1"/>
    <xf numFmtId="169" fontId="6" fillId="5" borderId="14" xfId="0" applyNumberFormat="1" applyFont="1" applyFill="1" applyBorder="1"/>
    <xf numFmtId="165" fontId="8" fillId="5" borderId="14" xfId="0" applyNumberFormat="1" applyFont="1" applyFill="1" applyBorder="1"/>
    <xf numFmtId="169" fontId="6" fillId="5" borderId="15" xfId="0" applyNumberFormat="1" applyFont="1" applyFill="1" applyBorder="1"/>
    <xf numFmtId="0" fontId="2" fillId="0" borderId="8" xfId="0" applyFont="1" applyBorder="1"/>
    <xf numFmtId="167" fontId="11" fillId="0" borderId="8" xfId="0" applyNumberFormat="1" applyFont="1" applyBorder="1"/>
    <xf numFmtId="0" fontId="14" fillId="0" borderId="8" xfId="0" applyFont="1" applyBorder="1"/>
    <xf numFmtId="0" fontId="15" fillId="0" borderId="8" xfId="0" applyFont="1" applyBorder="1" applyAlignment="1">
      <alignment wrapText="1"/>
    </xf>
    <xf numFmtId="0" fontId="18" fillId="5" borderId="8" xfId="0" applyFont="1" applyFill="1" applyBorder="1"/>
    <xf numFmtId="1" fontId="18" fillId="5" borderId="8" xfId="0" applyNumberFormat="1" applyFont="1" applyFill="1" applyBorder="1"/>
    <xf numFmtId="0" fontId="15" fillId="0" borderId="8" xfId="0" applyFont="1" applyBorder="1"/>
    <xf numFmtId="0" fontId="4" fillId="0" borderId="11" xfId="0" applyFont="1" applyBorder="1"/>
    <xf numFmtId="0" fontId="4" fillId="7" borderId="8" xfId="0" applyFont="1" applyFill="1" applyBorder="1"/>
    <xf numFmtId="0" fontId="4" fillId="2" borderId="8" xfId="0" applyFont="1" applyFill="1" applyBorder="1"/>
    <xf numFmtId="167" fontId="11" fillId="2" borderId="8" xfId="0" applyNumberFormat="1" applyFont="1" applyFill="1" applyBorder="1"/>
    <xf numFmtId="167" fontId="11" fillId="7" borderId="8" xfId="0" applyNumberFormat="1" applyFont="1" applyFill="1" applyBorder="1"/>
    <xf numFmtId="167" fontId="4" fillId="7" borderId="8" xfId="0" applyNumberFormat="1" applyFont="1" applyFill="1" applyBorder="1"/>
    <xf numFmtId="0" fontId="11" fillId="7" borderId="8" xfId="0" applyFont="1" applyFill="1" applyBorder="1"/>
    <xf numFmtId="0" fontId="19" fillId="7" borderId="8" xfId="0" applyFont="1" applyFill="1" applyBorder="1"/>
    <xf numFmtId="0" fontId="4" fillId="6" borderId="8" xfId="0" applyFont="1" applyFill="1" applyBorder="1"/>
    <xf numFmtId="164" fontId="4" fillId="2" borderId="8" xfId="0" applyNumberFormat="1" applyFont="1" applyFill="1" applyBorder="1"/>
    <xf numFmtId="169" fontId="4" fillId="7" borderId="8" xfId="0" applyNumberFormat="1" applyFont="1" applyFill="1" applyBorder="1"/>
    <xf numFmtId="1" fontId="4" fillId="7" borderId="8" xfId="0" applyNumberFormat="1" applyFont="1" applyFill="1" applyBorder="1"/>
    <xf numFmtId="1" fontId="4" fillId="7" borderId="16" xfId="0" applyNumberFormat="1" applyFont="1" applyFill="1" applyBorder="1"/>
    <xf numFmtId="0" fontId="4" fillId="7" borderId="7" xfId="0" applyFont="1" applyFill="1" applyBorder="1"/>
    <xf numFmtId="167" fontId="4" fillId="7" borderId="9" xfId="0" applyNumberFormat="1" applyFont="1" applyFill="1" applyBorder="1"/>
    <xf numFmtId="1" fontId="2" fillId="0" borderId="0" xfId="0" applyNumberFormat="1" applyFont="1"/>
    <xf numFmtId="0" fontId="11" fillId="2" borderId="0" xfId="0" applyFont="1" applyFill="1"/>
    <xf numFmtId="167" fontId="2" fillId="3" borderId="9" xfId="0" applyNumberFormat="1" applyFont="1" applyFill="1" applyBorder="1"/>
    <xf numFmtId="0" fontId="4" fillId="3" borderId="11" xfId="0" applyFont="1" applyFill="1" applyBorder="1"/>
    <xf numFmtId="0" fontId="2" fillId="3" borderId="13" xfId="0" applyFont="1" applyFill="1" applyBorder="1"/>
    <xf numFmtId="0" fontId="2" fillId="3" borderId="14" xfId="0" applyFont="1" applyFill="1" applyBorder="1"/>
    <xf numFmtId="1" fontId="2" fillId="3" borderId="14" xfId="0" applyNumberFormat="1" applyFont="1" applyFill="1" applyBorder="1"/>
    <xf numFmtId="1" fontId="2" fillId="3" borderId="15" xfId="0" applyNumberFormat="1" applyFont="1" applyFill="1" applyBorder="1"/>
    <xf numFmtId="0" fontId="2" fillId="8" borderId="7" xfId="0" applyFont="1" applyFill="1" applyBorder="1"/>
    <xf numFmtId="0" fontId="2" fillId="8" borderId="8" xfId="0" applyFont="1" applyFill="1" applyBorder="1"/>
    <xf numFmtId="167" fontId="2" fillId="8" borderId="8" xfId="0" applyNumberFormat="1" applyFont="1" applyFill="1" applyBorder="1"/>
    <xf numFmtId="167" fontId="2" fillId="8" borderId="9" xfId="0" applyNumberFormat="1" applyFont="1" applyFill="1" applyBorder="1"/>
    <xf numFmtId="167" fontId="4" fillId="3" borderId="8" xfId="0" applyNumberFormat="1" applyFont="1" applyFill="1" applyBorder="1"/>
    <xf numFmtId="167" fontId="4" fillId="3" borderId="9" xfId="0" applyNumberFormat="1" applyFont="1" applyFill="1" applyBorder="1"/>
    <xf numFmtId="164" fontId="2" fillId="3" borderId="8" xfId="0" applyNumberFormat="1" applyFont="1" applyFill="1" applyBorder="1"/>
    <xf numFmtId="164" fontId="2" fillId="3" borderId="9" xfId="0" applyNumberFormat="1" applyFont="1" applyFill="1" applyBorder="1"/>
    <xf numFmtId="169" fontId="2" fillId="3" borderId="8" xfId="0" applyNumberFormat="1" applyFont="1" applyFill="1" applyBorder="1"/>
    <xf numFmtId="169" fontId="2" fillId="3" borderId="9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2" fillId="2" borderId="8" xfId="0" applyNumberFormat="1" applyFont="1" applyFill="1" applyBorder="1"/>
    <xf numFmtId="164" fontId="4" fillId="2" borderId="9" xfId="0" applyNumberFormat="1" applyFont="1" applyFill="1" applyBorder="1"/>
    <xf numFmtId="0" fontId="2" fillId="9" borderId="7" xfId="0" applyFont="1" applyFill="1" applyBorder="1"/>
    <xf numFmtId="0" fontId="2" fillId="9" borderId="8" xfId="0" applyFont="1" applyFill="1" applyBorder="1"/>
    <xf numFmtId="169" fontId="2" fillId="9" borderId="8" xfId="0" applyNumberFormat="1" applyFont="1" applyFill="1" applyBorder="1"/>
    <xf numFmtId="169" fontId="4" fillId="9" borderId="8" xfId="0" applyNumberFormat="1" applyFont="1" applyFill="1" applyBorder="1"/>
    <xf numFmtId="169" fontId="4" fillId="9" borderId="9" xfId="0" applyNumberFormat="1" applyFont="1" applyFill="1" applyBorder="1"/>
    <xf numFmtId="1" fontId="2" fillId="3" borderId="8" xfId="0" applyNumberFormat="1" applyFont="1" applyFill="1" applyBorder="1"/>
    <xf numFmtId="1" fontId="2" fillId="3" borderId="9" xfId="0" applyNumberFormat="1" applyFont="1" applyFill="1" applyBorder="1"/>
    <xf numFmtId="170" fontId="2" fillId="3" borderId="8" xfId="0" applyNumberFormat="1" applyFont="1" applyFill="1" applyBorder="1"/>
    <xf numFmtId="170" fontId="2" fillId="2" borderId="8" xfId="0" applyNumberFormat="1" applyFont="1" applyFill="1" applyBorder="1"/>
    <xf numFmtId="0" fontId="2" fillId="10" borderId="7" xfId="0" applyFont="1" applyFill="1" applyBorder="1"/>
    <xf numFmtId="0" fontId="2" fillId="10" borderId="8" xfId="0" applyFont="1" applyFill="1" applyBorder="1"/>
    <xf numFmtId="164" fontId="2" fillId="10" borderId="8" xfId="0" applyNumberFormat="1" applyFont="1" applyFill="1" applyBorder="1"/>
    <xf numFmtId="164" fontId="4" fillId="10" borderId="8" xfId="0" applyNumberFormat="1" applyFont="1" applyFill="1" applyBorder="1"/>
    <xf numFmtId="164" fontId="4" fillId="10" borderId="9" xfId="0" applyNumberFormat="1" applyFont="1" applyFill="1" applyBorder="1"/>
    <xf numFmtId="0" fontId="2" fillId="7" borderId="7" xfId="0" applyFont="1" applyFill="1" applyBorder="1"/>
    <xf numFmtId="0" fontId="2" fillId="7" borderId="8" xfId="0" applyFont="1" applyFill="1" applyBorder="1"/>
    <xf numFmtId="169" fontId="2" fillId="7" borderId="8" xfId="0" applyNumberFormat="1" applyFont="1" applyFill="1" applyBorder="1"/>
    <xf numFmtId="169" fontId="4" fillId="7" borderId="9" xfId="0" applyNumberFormat="1" applyFont="1" applyFill="1" applyBorder="1"/>
    <xf numFmtId="1" fontId="4" fillId="7" borderId="9" xfId="0" applyNumberFormat="1" applyFont="1" applyFill="1" applyBorder="1"/>
    <xf numFmtId="170" fontId="2" fillId="10" borderId="8" xfId="0" applyNumberFormat="1" applyFont="1" applyFill="1" applyBorder="1"/>
    <xf numFmtId="167" fontId="2" fillId="3" borderId="14" xfId="0" applyNumberFormat="1" applyFont="1" applyFill="1" applyBorder="1"/>
    <xf numFmtId="167" fontId="4" fillId="3" borderId="14" xfId="0" applyNumberFormat="1" applyFont="1" applyFill="1" applyBorder="1"/>
    <xf numFmtId="167" fontId="4" fillId="3" borderId="15" xfId="0" applyNumberFormat="1" applyFont="1" applyFill="1" applyBorder="1"/>
    <xf numFmtId="167" fontId="2" fillId="0" borderId="0" xfId="0" applyNumberFormat="1" applyFont="1"/>
    <xf numFmtId="0" fontId="11" fillId="2" borderId="1" xfId="0" applyFont="1" applyFill="1" applyBorder="1"/>
    <xf numFmtId="0" fontId="4" fillId="7" borderId="4" xfId="0" applyFont="1" applyFill="1" applyBorder="1"/>
    <xf numFmtId="0" fontId="2" fillId="7" borderId="5" xfId="0" applyFont="1" applyFill="1" applyBorder="1"/>
    <xf numFmtId="0" fontId="2" fillId="7" borderId="6" xfId="0" applyFont="1" applyFill="1" applyBorder="1"/>
    <xf numFmtId="0" fontId="2" fillId="7" borderId="9" xfId="0" applyFont="1" applyFill="1" applyBorder="1"/>
    <xf numFmtId="0" fontId="4" fillId="7" borderId="9" xfId="0" applyFont="1" applyFill="1" applyBorder="1"/>
    <xf numFmtId="167" fontId="2" fillId="7" borderId="8" xfId="0" applyNumberFormat="1" applyFont="1" applyFill="1" applyBorder="1"/>
    <xf numFmtId="167" fontId="2" fillId="7" borderId="9" xfId="0" applyNumberFormat="1" applyFont="1" applyFill="1" applyBorder="1"/>
    <xf numFmtId="164" fontId="4" fillId="7" borderId="8" xfId="0" applyNumberFormat="1" applyFont="1" applyFill="1" applyBorder="1"/>
    <xf numFmtId="164" fontId="4" fillId="7" borderId="9" xfId="0" applyNumberFormat="1" applyFont="1" applyFill="1" applyBorder="1"/>
    <xf numFmtId="164" fontId="2" fillId="7" borderId="8" xfId="0" applyNumberFormat="1" applyFont="1" applyFill="1" applyBorder="1"/>
    <xf numFmtId="164" fontId="2" fillId="7" borderId="9" xfId="0" applyNumberFormat="1" applyFont="1" applyFill="1" applyBorder="1"/>
    <xf numFmtId="169" fontId="2" fillId="7" borderId="9" xfId="0" applyNumberFormat="1" applyFont="1" applyFill="1" applyBorder="1"/>
    <xf numFmtId="170" fontId="2" fillId="7" borderId="8" xfId="0" applyNumberFormat="1" applyFont="1" applyFill="1" applyBorder="1"/>
    <xf numFmtId="0" fontId="2" fillId="7" borderId="13" xfId="0" applyFont="1" applyFill="1" applyBorder="1"/>
    <xf numFmtId="0" fontId="2" fillId="7" borderId="14" xfId="0" applyFont="1" applyFill="1" applyBorder="1"/>
    <xf numFmtId="167" fontId="2" fillId="7" borderId="14" xfId="0" applyNumberFormat="1" applyFont="1" applyFill="1" applyBorder="1"/>
    <xf numFmtId="167" fontId="4" fillId="7" borderId="14" xfId="0" applyNumberFormat="1" applyFont="1" applyFill="1" applyBorder="1"/>
    <xf numFmtId="167" fontId="4" fillId="7" borderId="15" xfId="0" applyNumberFormat="1" applyFont="1" applyFill="1" applyBorder="1"/>
    <xf numFmtId="0" fontId="4" fillId="8" borderId="4" xfId="0" applyFont="1" applyFill="1" applyBorder="1"/>
    <xf numFmtId="0" fontId="2" fillId="8" borderId="5" xfId="0" applyFont="1" applyFill="1" applyBorder="1"/>
    <xf numFmtId="0" fontId="2" fillId="8" borderId="6" xfId="0" applyFont="1" applyFill="1" applyBorder="1"/>
    <xf numFmtId="0" fontId="4" fillId="8" borderId="8" xfId="0" applyFont="1" applyFill="1" applyBorder="1"/>
    <xf numFmtId="0" fontId="2" fillId="8" borderId="9" xfId="0" applyFont="1" applyFill="1" applyBorder="1"/>
    <xf numFmtId="0" fontId="4" fillId="8" borderId="7" xfId="0" applyFont="1" applyFill="1" applyBorder="1"/>
    <xf numFmtId="0" fontId="4" fillId="8" borderId="9" xfId="0" applyFont="1" applyFill="1" applyBorder="1"/>
    <xf numFmtId="164" fontId="4" fillId="8" borderId="8" xfId="0" applyNumberFormat="1" applyFont="1" applyFill="1" applyBorder="1"/>
    <xf numFmtId="164" fontId="4" fillId="8" borderId="9" xfId="0" applyNumberFormat="1" applyFont="1" applyFill="1" applyBorder="1"/>
    <xf numFmtId="167" fontId="4" fillId="8" borderId="8" xfId="0" applyNumberFormat="1" applyFont="1" applyFill="1" applyBorder="1"/>
    <xf numFmtId="167" fontId="4" fillId="8" borderId="9" xfId="0" applyNumberFormat="1" applyFont="1" applyFill="1" applyBorder="1"/>
    <xf numFmtId="164" fontId="2" fillId="8" borderId="8" xfId="0" applyNumberFormat="1" applyFont="1" applyFill="1" applyBorder="1"/>
    <xf numFmtId="168" fontId="2" fillId="8" borderId="8" xfId="0" applyNumberFormat="1" applyFont="1" applyFill="1" applyBorder="1"/>
    <xf numFmtId="168" fontId="2" fillId="8" borderId="9" xfId="0" applyNumberFormat="1" applyFont="1" applyFill="1" applyBorder="1"/>
    <xf numFmtId="168" fontId="4" fillId="8" borderId="8" xfId="0" applyNumberFormat="1" applyFont="1" applyFill="1" applyBorder="1"/>
    <xf numFmtId="168" fontId="4" fillId="8" borderId="9" xfId="0" applyNumberFormat="1" applyFont="1" applyFill="1" applyBorder="1"/>
    <xf numFmtId="164" fontId="2" fillId="8" borderId="9" xfId="0" applyNumberFormat="1" applyFont="1" applyFill="1" applyBorder="1"/>
    <xf numFmtId="0" fontId="2" fillId="8" borderId="13" xfId="0" applyFont="1" applyFill="1" applyBorder="1"/>
    <xf numFmtId="0" fontId="2" fillId="8" borderId="14" xfId="0" applyFont="1" applyFill="1" applyBorder="1"/>
    <xf numFmtId="0" fontId="2" fillId="8" borderId="15" xfId="0" applyFont="1" applyFill="1" applyBorder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Net present value</a:t>
            </a:r>
            <a:r>
              <a:rPr lang="en-GB" sz="1000" baseline="0"/>
              <a:t> of net gains or losses for energy-efficient renovation of MFH-57 apartment building in Augsburg, based on 2020 energy and construction prices, excluding and including rebounds/prebounds.</a:t>
            </a:r>
            <a:endParaRPr lang="en-GB" sz="1000"/>
          </a:p>
        </c:rich>
      </c:tx>
      <c:layout>
        <c:manualLayout>
          <c:xMode val="edge"/>
          <c:yMode val="edge"/>
          <c:x val="0.1039653929343907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[1]AugsburgMFH57!$E$5:$H$5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[1]AugsburgMFH57!$E$23:$H$23</c:f>
              <c:numCache>
                <c:formatCode>General</c:formatCode>
                <c:ptCount val="4"/>
                <c:pt idx="0">
                  <c:v>14643</c:v>
                </c:pt>
                <c:pt idx="1">
                  <c:v>-43236</c:v>
                </c:pt>
                <c:pt idx="2">
                  <c:v>-13337</c:v>
                </c:pt>
                <c:pt idx="3">
                  <c:v>-29990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4-4454-B688-F32E60F26F91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[1]AugsburgMFH57!$E$30:$H$30</c:f>
              <c:numCache>
                <c:formatCode>General</c:formatCode>
                <c:ptCount val="4"/>
                <c:pt idx="0">
                  <c:v>-10207</c:v>
                </c:pt>
                <c:pt idx="1">
                  <c:v>-66893</c:v>
                </c:pt>
                <c:pt idx="2">
                  <c:v>-42161</c:v>
                </c:pt>
                <c:pt idx="3">
                  <c:v>-53646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4-4454-B688-F32E60F26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484256"/>
        <c:axId val="741484608"/>
      </c:barChart>
      <c:catAx>
        <c:axId val="74148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608"/>
        <c:crosses val="autoZero"/>
        <c:auto val="1"/>
        <c:lblAlgn val="ctr"/>
        <c:lblOffset val="100"/>
        <c:noMultiLvlLbl val="0"/>
      </c:catAx>
      <c:valAx>
        <c:axId val="74148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cap="all" baseline="0">
                    <a:solidFill>
                      <a:sysClr val="windowText" lastClr="000000"/>
                    </a:solidFill>
                  </a:rPr>
                  <a:t>npv </a:t>
                </a:r>
                <a:r>
                  <a:rPr lang="en-GB" sz="1000" b="0" i="0" u="none" strike="noStrike" kern="1200" cap="none" baseline="0">
                    <a:solidFill>
                      <a:sysClr val="windowText" lastClr="000000"/>
                    </a:solidFill>
                  </a:rPr>
                  <a:t>of net loss or gain (€)</a:t>
                </a:r>
                <a:endParaRPr lang="en-GB" sz="1000" b="0" i="0" u="none" strike="noStrike" kern="1200" baseline="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Percentage</a:t>
            </a:r>
            <a:r>
              <a:rPr lang="en-GB" sz="1000" baseline="0"/>
              <a:t> increase in net losses when rebound and prebound effects are accounted for, in energy-efficient renovation of GMFH-68 apartment building in Augsburg, using 2020 and 2023 energy and construction prices.  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2020 prices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[1]AugsbGMFH68!$E$2:$H$2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[1]AugsbGMFH68!$E$41:$H$41</c:f>
              <c:numCache>
                <c:formatCode>General</c:formatCode>
                <c:ptCount val="4"/>
                <c:pt idx="1">
                  <c:v>55.886835075389499</c:v>
                </c:pt>
                <c:pt idx="2">
                  <c:v>34.630234096399406</c:v>
                </c:pt>
                <c:pt idx="3">
                  <c:v>43.429743643939851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A-4140-82BF-CA9E980FD7B7}"/>
            </c:ext>
          </c:extLst>
        </c:ser>
        <c:ser>
          <c:idx val="1"/>
          <c:order val="1"/>
          <c:tx>
            <c:v>2023 prices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[1]AugsbGMFH68!$E$2:$H$2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[1]AugsbGMFH68!$E$66:$H$66</c:f>
              <c:numCache>
                <c:formatCode>General</c:formatCode>
                <c:ptCount val="4"/>
                <c:pt idx="0">
                  <c:v>100</c:v>
                </c:pt>
                <c:pt idx="1">
                  <c:v>31.258612966455441</c:v>
                </c:pt>
                <c:pt idx="2">
                  <c:v>21.233586763673856</c:v>
                </c:pt>
                <c:pt idx="3">
                  <c:v>36.55399695791786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CA-4140-82BF-CA9E980FD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68315968"/>
        <c:axId val="768314208"/>
      </c:barChart>
      <c:catAx>
        <c:axId val="76831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314208"/>
        <c:crosses val="autoZero"/>
        <c:auto val="1"/>
        <c:lblAlgn val="ctr"/>
        <c:lblOffset val="100"/>
        <c:noMultiLvlLbl val="0"/>
      </c:catAx>
      <c:valAx>
        <c:axId val="76831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</a:t>
                </a:r>
                <a:r>
                  <a:rPr lang="en-GB" baseline="0"/>
                  <a:t> increase in net losses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2.5000000000000001E-2"/>
              <c:y val="0.163533829104695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31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Net present value</a:t>
            </a:r>
            <a:r>
              <a:rPr lang="en-GB" sz="1000" baseline="0"/>
              <a:t> of net gains or losses for energy-efficient renovation of GMFH-68 apartment building in Augsburg, based on 2020 energy and construction prices, excluding and including rebounds/prebounds.</a:t>
            </a:r>
            <a:endParaRPr lang="en-GB" sz="1000"/>
          </a:p>
        </c:rich>
      </c:tx>
      <c:layout>
        <c:manualLayout>
          <c:xMode val="edge"/>
          <c:yMode val="edge"/>
          <c:x val="0.1039653929343907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[1]AugsbGMFH68!$E$2:$H$2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[1]AugsbGMFH68!$E$27:$H$27</c:f>
              <c:numCache>
                <c:formatCode>General</c:formatCode>
                <c:ptCount val="4"/>
                <c:pt idx="0">
                  <c:v>21226</c:v>
                </c:pt>
                <c:pt idx="1">
                  <c:v>-167331</c:v>
                </c:pt>
                <c:pt idx="2">
                  <c:v>-278176</c:v>
                </c:pt>
                <c:pt idx="3">
                  <c:v>-529888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C-41D6-A0B7-93846CE9DBD0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[1]AugsbGMFH68!$E$2:$H$2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[1]AugsbGMFH68!$E$35:$H$35</c:f>
              <c:numCache>
                <c:formatCode>General</c:formatCode>
                <c:ptCount val="4"/>
                <c:pt idx="0">
                  <c:v>-65530</c:v>
                </c:pt>
                <c:pt idx="1">
                  <c:v>-260847</c:v>
                </c:pt>
                <c:pt idx="2">
                  <c:v>-374509</c:v>
                </c:pt>
                <c:pt idx="3">
                  <c:v>-760017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0C-41D6-A0B7-93846CE9D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484256"/>
        <c:axId val="741484608"/>
      </c:barChart>
      <c:catAx>
        <c:axId val="74148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608"/>
        <c:crosses val="autoZero"/>
        <c:auto val="1"/>
        <c:lblAlgn val="ctr"/>
        <c:lblOffset val="100"/>
        <c:noMultiLvlLbl val="0"/>
      </c:catAx>
      <c:valAx>
        <c:axId val="74148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cap="all" baseline="0">
                    <a:solidFill>
                      <a:sysClr val="windowText" lastClr="000000"/>
                    </a:solidFill>
                  </a:rPr>
                  <a:t>npv </a:t>
                </a:r>
                <a:r>
                  <a:rPr lang="en-GB" sz="1000" b="0" i="0" u="none" strike="noStrike" kern="1200" cap="none" baseline="0">
                    <a:solidFill>
                      <a:sysClr val="windowText" lastClr="000000"/>
                    </a:solidFill>
                  </a:rPr>
                  <a:t>of net loss or gain (€)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Net present value</a:t>
            </a:r>
            <a:r>
              <a:rPr lang="en-GB" sz="1000" baseline="0"/>
              <a:t> of net gains or losses for energy-efficient renovation of GMFH-68 apartment building in Augsburg, based on 2023 energy and construction prices, excluding and including rebounds/prebounds.</a:t>
            </a:r>
            <a:endParaRPr lang="en-GB" sz="1000"/>
          </a:p>
        </c:rich>
      </c:tx>
      <c:layout>
        <c:manualLayout>
          <c:xMode val="edge"/>
          <c:yMode val="edge"/>
          <c:x val="0.1039653929343907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[1]AugsbGMFH68!$E$2:$H$2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[1]AugsbGMFH68!$E$52:$H$52</c:f>
              <c:numCache>
                <c:formatCode>General</c:formatCode>
                <c:ptCount val="4"/>
                <c:pt idx="0">
                  <c:v>-50670</c:v>
                </c:pt>
                <c:pt idx="1">
                  <c:v>-350489</c:v>
                </c:pt>
                <c:pt idx="2">
                  <c:v>-531507</c:v>
                </c:pt>
                <c:pt idx="3">
                  <c:v>-591700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0-4A54-B494-1F2894519981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[1]AugsbGMFH68!$E$2:$H$2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[1]AugsbGMFH68!$E$60:$H$60</c:f>
              <c:numCache>
                <c:formatCode>General</c:formatCode>
                <c:ptCount val="4"/>
                <c:pt idx="0">
                  <c:v>-152309</c:v>
                </c:pt>
                <c:pt idx="1">
                  <c:v>-460047</c:v>
                </c:pt>
                <c:pt idx="2">
                  <c:v>-644365</c:v>
                </c:pt>
                <c:pt idx="3">
                  <c:v>-807990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0-4A54-B494-1F2894519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484256"/>
        <c:axId val="741484608"/>
      </c:barChart>
      <c:catAx>
        <c:axId val="74148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608"/>
        <c:crosses val="autoZero"/>
        <c:auto val="1"/>
        <c:lblAlgn val="ctr"/>
        <c:lblOffset val="100"/>
        <c:noMultiLvlLbl val="0"/>
      </c:catAx>
      <c:valAx>
        <c:axId val="74148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cap="all" baseline="0">
                    <a:solidFill>
                      <a:sysClr val="windowText" lastClr="000000"/>
                    </a:solidFill>
                  </a:rPr>
                  <a:t>NPV</a:t>
                </a:r>
                <a:r>
                  <a:rPr lang="en-GB" sz="1000" b="0" i="0" u="none" strike="noStrike" kern="1200" cap="none" baseline="0">
                    <a:solidFill>
                      <a:sysClr val="windowText" lastClr="000000"/>
                    </a:solidFill>
                  </a:rPr>
                  <a:t> of net loss or gain (€)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2.4539877300613498E-2"/>
              <c:y val="0.342729006700249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baseline="0">
                <a:effectLst/>
              </a:rPr>
              <a:t>Energy price (€/kWh) needed for payback within 25 years, energy-efficient renovation of GMFH-78 apartment building in Augsburg, based on 2020 construction prices,  excluding and including rebounds/prebounds.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[1]AugsburgGMFH78!$E$2:$H$2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[1]AugsburgGMFH78!$E$27:$H$27</c:f>
              <c:numCache>
                <c:formatCode>General</c:formatCode>
                <c:ptCount val="4"/>
                <c:pt idx="0">
                  <c:v>5.1999999999999998E-2</c:v>
                </c:pt>
                <c:pt idx="1">
                  <c:v>0.122</c:v>
                </c:pt>
                <c:pt idx="2">
                  <c:v>0.13900000000000001</c:v>
                </c:pt>
                <c:pt idx="3">
                  <c:v>0.16200000000000001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6-47F6-9418-6E7316E6D0CE}"/>
            </c:ext>
          </c:extLst>
        </c:ser>
        <c:ser>
          <c:idx val="1"/>
          <c:order val="1"/>
          <c:tx>
            <c:v>with (prebound)</c:v>
          </c:tx>
          <c:spPr>
            <a:pattFill prst="lgConfetti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[1]AugsburgGMFH78!$E$2:$H$2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[1]AugsburgGMFH78!$E$35:$H$35</c:f>
              <c:numCache>
                <c:formatCode>General</c:formatCode>
                <c:ptCount val="4"/>
                <c:pt idx="0">
                  <c:v>9.6000000000000002E-2</c:v>
                </c:pt>
                <c:pt idx="1">
                  <c:v>0.20599999999999999</c:v>
                </c:pt>
                <c:pt idx="2">
                  <c:v>0.20200000000000001</c:v>
                </c:pt>
                <c:pt idx="3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6-47F6-9418-6E7316E6D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503264"/>
        <c:axId val="741503616"/>
      </c:barChart>
      <c:catAx>
        <c:axId val="7415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616"/>
        <c:crosses val="autoZero"/>
        <c:auto val="1"/>
        <c:lblAlgn val="ctr"/>
        <c:lblOffset val="200"/>
        <c:noMultiLvlLbl val="0"/>
      </c:catAx>
      <c:valAx>
        <c:axId val="7415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price (€/kWh)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baseline="0">
                <a:effectLst/>
              </a:rPr>
              <a:t>Energy price (€(kWh) needed for payback within 25 years, energy-efficient renovation of GMFH-78 apartment building in Augsburg, based on 2023 construction prices,  excluding and including rebounds/prebounds.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[1]AugsburgGMFH78!$E$2:$H$2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[1]AugsburgGMFH78!$E$53:$H$53</c:f>
              <c:numCache>
                <c:formatCode>General</c:formatCode>
                <c:ptCount val="4"/>
                <c:pt idx="0">
                  <c:v>0.115</c:v>
                </c:pt>
                <c:pt idx="1">
                  <c:v>0.29699999999999999</c:v>
                </c:pt>
                <c:pt idx="2">
                  <c:v>0.28000000000000003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F-402C-BC03-378E9471A697}"/>
            </c:ext>
          </c:extLst>
        </c:ser>
        <c:ser>
          <c:idx val="1"/>
          <c:order val="1"/>
          <c:tx>
            <c:v>with (prebound)</c:v>
          </c:tx>
          <c:spPr>
            <a:pattFill prst="lgConfetti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[1]AugsburgGMFH78!$E$2:$H$2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[1]AugsburgGMFH78!$E$61:$H$61</c:f>
              <c:numCache>
                <c:formatCode>General</c:formatCode>
                <c:ptCount val="4"/>
                <c:pt idx="0">
                  <c:v>0.216</c:v>
                </c:pt>
                <c:pt idx="1">
                  <c:v>0.4</c:v>
                </c:pt>
                <c:pt idx="2">
                  <c:v>0.40899999999999997</c:v>
                </c:pt>
                <c:pt idx="3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EF-402C-BC03-378E9471A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503264"/>
        <c:axId val="741503616"/>
      </c:barChart>
      <c:catAx>
        <c:axId val="7415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616"/>
        <c:crosses val="autoZero"/>
        <c:auto val="1"/>
        <c:lblAlgn val="ctr"/>
        <c:lblOffset val="200"/>
        <c:noMultiLvlLbl val="0"/>
      </c:catAx>
      <c:valAx>
        <c:axId val="7415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price (€/kWh)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Percentage</a:t>
            </a:r>
            <a:r>
              <a:rPr lang="en-GB" sz="1000" baseline="0"/>
              <a:t> increase in net losses when rebound and prebound effects are accounted for, in energy-efficient renovation of GMFH-78 apartment building in Augsburg, using 2020 and 2023 energy and construction prices. 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2020 prices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[1]AugsburgGMFH78!$E$2:$H$2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[1]AugsburgGMFH78!$E$40:$H$40</c:f>
              <c:numCache>
                <c:formatCode>General</c:formatCode>
                <c:ptCount val="4"/>
                <c:pt idx="1">
                  <c:v>34.125193233352626</c:v>
                </c:pt>
                <c:pt idx="2">
                  <c:v>23.650011286597724</c:v>
                </c:pt>
                <c:pt idx="3">
                  <c:v>43.327090887357059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6-4753-89E7-0EB1211A67F7}"/>
            </c:ext>
          </c:extLst>
        </c:ser>
        <c:ser>
          <c:idx val="1"/>
          <c:order val="1"/>
          <c:tx>
            <c:v>2023 prices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[1]AugsburgGMFH78!$E$2:$H$2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[1]AugsburgGMFH78!$E$66:$H$66</c:f>
              <c:numCache>
                <c:formatCode>General</c:formatCode>
                <c:ptCount val="4"/>
                <c:pt idx="0">
                  <c:v>169.74069284693391</c:v>
                </c:pt>
                <c:pt idx="1">
                  <c:v>18.003777383112922</c:v>
                </c:pt>
                <c:pt idx="2">
                  <c:v>15.788248100640789</c:v>
                </c:pt>
                <c:pt idx="3">
                  <c:v>37.233074102010562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76-4753-89E7-0EB1211A6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68315968"/>
        <c:axId val="768314208"/>
      </c:barChart>
      <c:catAx>
        <c:axId val="76831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314208"/>
        <c:crosses val="autoZero"/>
        <c:auto val="1"/>
        <c:lblAlgn val="ctr"/>
        <c:lblOffset val="100"/>
        <c:noMultiLvlLbl val="0"/>
      </c:catAx>
      <c:valAx>
        <c:axId val="76831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</a:t>
                </a:r>
                <a:r>
                  <a:rPr lang="en-GB" baseline="0"/>
                  <a:t> increase in net losses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2.5000000000000001E-2"/>
              <c:y val="0.163533829104695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31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50"/>
              <a:t>Apartment building GMFH78 NPV losses as percentage of NPV cost, 2023, without and with (p)rebound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[1]AugsburgGMFH78!$E$2:$H$2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[1]AugsburgGMFH78!$E$69:$H$69</c:f>
              <c:numCache>
                <c:formatCode>General</c:formatCode>
                <c:ptCount val="4"/>
                <c:pt idx="0">
                  <c:v>20.828947601580637</c:v>
                </c:pt>
                <c:pt idx="1">
                  <c:v>65.731816660748819</c:v>
                </c:pt>
                <c:pt idx="2">
                  <c:v>66.438950467532734</c:v>
                </c:pt>
                <c:pt idx="3">
                  <c:v>106.81205723017086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D-40E2-9A5D-D6E278FD8DA4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[1]AugsburgGMFH78!$E$2:$H$2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[1]AugsburgGMFH78!$E$70:$H$70</c:f>
              <c:numCache>
                <c:formatCode>General</c:formatCode>
                <c:ptCount val="4"/>
                <c:pt idx="0">
                  <c:v>56.184147573228429</c:v>
                </c:pt>
                <c:pt idx="1">
                  <c:v>77.566026602225975</c:v>
                </c:pt>
                <c:pt idx="2">
                  <c:v>76.928496802808638</c:v>
                </c:pt>
                <c:pt idx="3">
                  <c:v>146.58146964856229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2D-40E2-9A5D-D6E278FD8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8629512"/>
        <c:axId val="478631808"/>
      </c:barChart>
      <c:catAx>
        <c:axId val="47862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8631808"/>
        <c:crosses val="autoZero"/>
        <c:auto val="1"/>
        <c:lblAlgn val="ctr"/>
        <c:lblOffset val="100"/>
        <c:noMultiLvlLbl val="0"/>
      </c:catAx>
      <c:valAx>
        <c:axId val="47863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 loss (gain if negative)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86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Net present value</a:t>
            </a:r>
            <a:r>
              <a:rPr lang="en-GB" sz="1000" baseline="0"/>
              <a:t> of net gains or losses for energy-efficient renovation of GMFH-78 apartment building in Augsburg, based on 2020 energy and construction prices, excluding and including rebounds/prebounds.</a:t>
            </a:r>
            <a:endParaRPr lang="en-GB" sz="1000"/>
          </a:p>
        </c:rich>
      </c:tx>
      <c:layout>
        <c:manualLayout>
          <c:xMode val="edge"/>
          <c:yMode val="edge"/>
          <c:x val="0.1039653929343907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[1]AugsburgGMFH78!$E$2:$H$2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[1]AugsburgGMFH78!$E$26:$H$26</c:f>
              <c:numCache>
                <c:formatCode>General</c:formatCode>
                <c:ptCount val="4"/>
                <c:pt idx="0">
                  <c:v>55480</c:v>
                </c:pt>
                <c:pt idx="1">
                  <c:v>-272986</c:v>
                </c:pt>
                <c:pt idx="2">
                  <c:v>-403133</c:v>
                </c:pt>
                <c:pt idx="3">
                  <c:v>-627425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F-4653-9C5A-1BC0CC57BD3E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[1]AugsburgGMFH78!$E$2:$H$2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[1]AugsburgGMFH78!$E$34:$H$34</c:f>
              <c:numCache>
                <c:formatCode>General</c:formatCode>
                <c:ptCount val="4"/>
                <c:pt idx="0">
                  <c:v>-76723</c:v>
                </c:pt>
                <c:pt idx="1">
                  <c:v>-366143</c:v>
                </c:pt>
                <c:pt idx="2">
                  <c:v>-498474</c:v>
                </c:pt>
                <c:pt idx="3">
                  <c:v>-899270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CF-4653-9C5A-1BC0CC57B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484256"/>
        <c:axId val="741484608"/>
      </c:barChart>
      <c:catAx>
        <c:axId val="74148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608"/>
        <c:crosses val="autoZero"/>
        <c:auto val="1"/>
        <c:lblAlgn val="ctr"/>
        <c:lblOffset val="100"/>
        <c:noMultiLvlLbl val="0"/>
      </c:catAx>
      <c:valAx>
        <c:axId val="74148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cap="all" baseline="0">
                    <a:solidFill>
                      <a:sysClr val="windowText" lastClr="000000"/>
                    </a:solidFill>
                  </a:rPr>
                  <a:t>npv </a:t>
                </a:r>
                <a:r>
                  <a:rPr lang="en-GB" sz="1000" b="0" i="0" u="none" strike="noStrike" kern="1200" cap="none" baseline="0">
                    <a:solidFill>
                      <a:sysClr val="windowText" lastClr="000000"/>
                    </a:solidFill>
                  </a:rPr>
                  <a:t>of net loss or gain (€)</a:t>
                </a:r>
                <a:endParaRPr lang="en-GB" sz="1000" b="0" i="0" u="none" strike="noStrike" kern="1200" baseline="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baseline="0">
                <a:effectLst/>
              </a:rPr>
              <a:t>Net present value of net gains or losses for energy-efficient renovation of GMFH-78 apartment building in Augsburg, based on 2023 energy and construction prices,  excluding and including rebounds/prebounds.</a:t>
            </a:r>
            <a:endParaRPr lang="en-GB" sz="1000">
              <a:effectLst/>
            </a:endParaRPr>
          </a:p>
        </c:rich>
      </c:tx>
      <c:layout>
        <c:manualLayout>
          <c:xMode val="edge"/>
          <c:yMode val="edge"/>
          <c:x val="0.1002166492194256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updated &amp; 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[1]AugsburgGMFH78!$E$2:$H$2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[1]AugsburgGMFH78!$E$52:$H$52</c:f>
              <c:numCache>
                <c:formatCode>General</c:formatCode>
                <c:ptCount val="4"/>
                <c:pt idx="0">
                  <c:v>-58772</c:v>
                </c:pt>
                <c:pt idx="1">
                  <c:v>-514642</c:v>
                </c:pt>
                <c:pt idx="2">
                  <c:v>-712872</c:v>
                </c:pt>
                <c:pt idx="3">
                  <c:v>-653599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B-45BA-9D85-2E4FF632D2AE}"/>
            </c:ext>
          </c:extLst>
        </c:ser>
        <c:ser>
          <c:idx val="2"/>
          <c:order val="1"/>
          <c:tx>
            <c:v>updated &amp; with (p)rebound</c:v>
          </c:tx>
          <c:spPr>
            <a:pattFill prst="lgConfetti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[1]AugsburgGMFH78!$E$2:$H$2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[1]AugsburgGMFH78!$E$60:$H$60</c:f>
              <c:numCache>
                <c:formatCode>General</c:formatCode>
                <c:ptCount val="4"/>
                <c:pt idx="0">
                  <c:v>-158532</c:v>
                </c:pt>
                <c:pt idx="1">
                  <c:v>-607297</c:v>
                </c:pt>
                <c:pt idx="2">
                  <c:v>-825422</c:v>
                </c:pt>
                <c:pt idx="3">
                  <c:v>-896954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B-45BA-9D85-2E4FF632D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25"/>
        <c:axId val="741484256"/>
        <c:axId val="741484608"/>
      </c:barChart>
      <c:catAx>
        <c:axId val="74148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608"/>
        <c:crosses val="autoZero"/>
        <c:auto val="1"/>
        <c:lblAlgn val="ctr"/>
        <c:lblOffset val="100"/>
        <c:noMultiLvlLbl val="0"/>
      </c:catAx>
      <c:valAx>
        <c:axId val="74148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cap="all" baseline="0">
                    <a:solidFill>
                      <a:sysClr val="windowText" lastClr="000000"/>
                    </a:solidFill>
                  </a:rPr>
                  <a:t>npv </a:t>
                </a:r>
                <a:r>
                  <a:rPr lang="en-GB" sz="1000" b="0" i="0" u="none" strike="noStrike" kern="1200" cap="none" baseline="0">
                    <a:solidFill>
                      <a:sysClr val="windowText" lastClr="000000"/>
                    </a:solidFill>
                  </a:rPr>
                  <a:t>of net loss or gain (€)</a:t>
                </a:r>
                <a:endParaRPr lang="en-GB" sz="1000" b="0" i="0" u="none" strike="noStrike" kern="1200" baseline="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baseline="0">
                <a:effectLst/>
              </a:rPr>
              <a:t>Energy price (€/kWh) needed for payback within 25 years, energy-efficient renovation of standard ZFH-48 house, based on </a:t>
            </a:r>
            <a:r>
              <a:rPr lang="en-GB" sz="1000" b="1" i="0" u="none" strike="noStrike" baseline="0">
                <a:effectLst/>
              </a:rPr>
              <a:t>2021</a:t>
            </a:r>
            <a:r>
              <a:rPr lang="en-GB" sz="1000" b="0" i="0" u="none" strike="noStrike" baseline="0">
                <a:effectLst/>
              </a:rPr>
              <a:t> construction prices,  excluding and including rebounds/prebounds.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[2]HausZFH48!$E$2:$G$2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[2]HausZFH48!$E$26:$G$26</c:f>
              <c:numCache>
                <c:formatCode>General</c:formatCode>
                <c:ptCount val="3"/>
                <c:pt idx="0">
                  <c:v>8.5999999999999993E-2</c:v>
                </c:pt>
                <c:pt idx="1">
                  <c:v>8.5999999999999993E-2</c:v>
                </c:pt>
                <c:pt idx="2">
                  <c:v>0.10100000000000001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3-46B3-9879-141AD7CD9781}"/>
            </c:ext>
          </c:extLst>
        </c:ser>
        <c:ser>
          <c:idx val="1"/>
          <c:order val="1"/>
          <c:tx>
            <c:v>with (prebound)</c:v>
          </c:tx>
          <c:spPr>
            <a:pattFill prst="lgConfetti">
              <a:fgClr>
                <a:schemeClr val="accent4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[2]HausZFH48!$E$2:$G$2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[2]HausZFH48!$E$33:$G$33</c:f>
              <c:numCache>
                <c:formatCode>General</c:formatCode>
                <c:ptCount val="3"/>
                <c:pt idx="0">
                  <c:v>0.151</c:v>
                </c:pt>
                <c:pt idx="1">
                  <c:v>0.14799999999999999</c:v>
                </c:pt>
                <c:pt idx="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63-46B3-9879-141AD7CD9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503264"/>
        <c:axId val="741503616"/>
      </c:barChart>
      <c:catAx>
        <c:axId val="7415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616"/>
        <c:crosses val="autoZero"/>
        <c:auto val="1"/>
        <c:lblAlgn val="ctr"/>
        <c:lblOffset val="100"/>
        <c:noMultiLvlLbl val="0"/>
      </c:catAx>
      <c:valAx>
        <c:axId val="7415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price (€/kWh)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baseline="0">
                <a:effectLst/>
              </a:rPr>
              <a:t>Energy price needed for payback within 25 years, energy-efficient renovation of MFH-57 apartment building in Augsburg, based on 2020 construction prices,  excluding and including rebounds/prebounds.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[1]AugsburgMFH57!$E$5:$H$5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[1]AugsburgMFH57!$E$24:$H$24</c:f>
              <c:numCache>
                <c:formatCode>General</c:formatCode>
                <c:ptCount val="4"/>
                <c:pt idx="1">
                  <c:v>9.1999999999999998E-2</c:v>
                </c:pt>
                <c:pt idx="2">
                  <c:v>6.9000000000000006E-2</c:v>
                </c:pt>
                <c:pt idx="3">
                  <c:v>7.9000000000000001E-2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E-44CD-B4FC-77D6409AEA00}"/>
            </c:ext>
          </c:extLst>
        </c:ser>
        <c:ser>
          <c:idx val="1"/>
          <c:order val="1"/>
          <c:tx>
            <c:v>with (prebound)</c:v>
          </c:tx>
          <c:spPr>
            <a:pattFill prst="lgConfetti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[1]AugsburgMFH57!$E$5:$H$5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[1]AugsburgMFH57!$E$31:$H$31</c:f>
              <c:numCache>
                <c:formatCode>General</c:formatCode>
                <c:ptCount val="4"/>
                <c:pt idx="0">
                  <c:v>7.2999999999999995E-2</c:v>
                </c:pt>
                <c:pt idx="1">
                  <c:v>0.113</c:v>
                </c:pt>
                <c:pt idx="2">
                  <c:v>9.6000000000000002E-2</c:v>
                </c:pt>
                <c:pt idx="3">
                  <c:v>0.10299999999999999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E-44CD-B4FC-77D6409AE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503264"/>
        <c:axId val="741503616"/>
      </c:barChart>
      <c:catAx>
        <c:axId val="7415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616"/>
        <c:crosses val="autoZero"/>
        <c:auto val="1"/>
        <c:lblAlgn val="ctr"/>
        <c:lblOffset val="100"/>
        <c:noMultiLvlLbl val="0"/>
      </c:catAx>
      <c:valAx>
        <c:axId val="7415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price (€/kWh)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baseline="0">
                <a:effectLst/>
              </a:rPr>
              <a:t>Energy price (€/kWh) needed for payback within 25 years, energy-efficient renovation of standard ZFH-48 house, based on </a:t>
            </a:r>
            <a:r>
              <a:rPr lang="en-GB" sz="1000" b="1" i="0" u="none" strike="noStrike" baseline="0">
                <a:effectLst/>
              </a:rPr>
              <a:t>2023</a:t>
            </a:r>
            <a:r>
              <a:rPr lang="en-GB" sz="1000" b="0" i="0" u="none" strike="noStrike" baseline="0">
                <a:effectLst/>
              </a:rPr>
              <a:t> construction prices,  excluding and including rebounds/prebounds.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[2]HausZFH48!$E$2:$G$2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[2]HausZFH48!$E$49:$G$49</c:f>
              <c:numCache>
                <c:formatCode>General</c:formatCode>
                <c:ptCount val="3"/>
                <c:pt idx="0">
                  <c:v>0.159</c:v>
                </c:pt>
                <c:pt idx="1">
                  <c:v>0.16</c:v>
                </c:pt>
                <c:pt idx="2">
                  <c:v>0.187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2-4E83-AD59-AC54A1537CC1}"/>
            </c:ext>
          </c:extLst>
        </c:ser>
        <c:ser>
          <c:idx val="1"/>
          <c:order val="1"/>
          <c:tx>
            <c:v>with (prebound)</c:v>
          </c:tx>
          <c:spPr>
            <a:pattFill prst="lgConfetti">
              <a:fgClr>
                <a:schemeClr val="accent4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[2]HausZFH48!$E$2:$G$2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[2]HausZFH48!$E$56:$G$56</c:f>
              <c:numCache>
                <c:formatCode>General</c:formatCode>
                <c:ptCount val="3"/>
                <c:pt idx="0">
                  <c:v>0.28399999999999997</c:v>
                </c:pt>
                <c:pt idx="1">
                  <c:v>0.27900000000000003</c:v>
                </c:pt>
                <c:pt idx="2">
                  <c:v>0.32200000000000001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2-4E83-AD59-AC54A1537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503264"/>
        <c:axId val="741503616"/>
      </c:barChart>
      <c:catAx>
        <c:axId val="7415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616"/>
        <c:crosses val="autoZero"/>
        <c:auto val="1"/>
        <c:lblAlgn val="ctr"/>
        <c:lblOffset val="100"/>
        <c:noMultiLvlLbl val="0"/>
      </c:catAx>
      <c:valAx>
        <c:axId val="7415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price (€/kWh)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Percentage</a:t>
            </a:r>
            <a:r>
              <a:rPr lang="en-GB" sz="1000" baseline="0"/>
              <a:t> increase in net losses when rebound and prebound effects are accounted for, in energy-efficient renovation of standard ZFH-48 house, using 2021 and 2023 energy and construction prices. 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2021 prices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[2]HausEFH68!$E$3:$G$3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[2]HausZFH48!$E$37:$G$37</c:f>
              <c:numCache>
                <c:formatCode>General</c:formatCode>
                <c:ptCount val="3"/>
                <c:pt idx="0">
                  <c:v>103.06799666176529</c:v>
                </c:pt>
                <c:pt idx="1">
                  <c:v>98.434919681729468</c:v>
                </c:pt>
                <c:pt idx="2">
                  <c:v>60.011415525114153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8-4792-A6BD-4EBFAB460B3D}"/>
            </c:ext>
          </c:extLst>
        </c:ser>
        <c:ser>
          <c:idx val="1"/>
          <c:order val="1"/>
          <c:tx>
            <c:v>2023 prices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[2]HausZFH48!$E$60:$G$60</c:f>
              <c:numCache>
                <c:formatCode>General</c:formatCode>
                <c:ptCount val="3"/>
                <c:pt idx="0">
                  <c:v>59.723259562089702</c:v>
                </c:pt>
                <c:pt idx="1">
                  <c:v>57.344954368152891</c:v>
                </c:pt>
                <c:pt idx="2">
                  <c:v>39.456723685053497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F8-4792-A6BD-4EBFAB460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68315968"/>
        <c:axId val="768314208"/>
      </c:barChart>
      <c:catAx>
        <c:axId val="76831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314208"/>
        <c:crosses val="autoZero"/>
        <c:auto val="1"/>
        <c:lblAlgn val="ctr"/>
        <c:lblOffset val="100"/>
        <c:noMultiLvlLbl val="0"/>
      </c:catAx>
      <c:valAx>
        <c:axId val="76831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</a:t>
                </a:r>
                <a:r>
                  <a:rPr lang="en-GB" baseline="0"/>
                  <a:t> increase in net losses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2.5000000000000001E-2"/>
              <c:y val="0.163533829104695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31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50"/>
              <a:t>House ZFH48 NPV losses as percentage of NPV cost, 2023, without</a:t>
            </a:r>
            <a:r>
              <a:rPr lang="en-GB" sz="1050" baseline="0"/>
              <a:t> and with </a:t>
            </a:r>
            <a:r>
              <a:rPr lang="en-GB" sz="1050"/>
              <a:t>(p)rebound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[2]HausZFH48!$E$2:$G$2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[2]HausZFH48!$E$63:$G$63</c:f>
              <c:numCache>
                <c:formatCode>General</c:formatCode>
                <c:ptCount val="3"/>
                <c:pt idx="0">
                  <c:v>41.880756978342646</c:v>
                </c:pt>
                <c:pt idx="1">
                  <c:v>42.276980858148306</c:v>
                </c:pt>
                <c:pt idx="2">
                  <c:v>50.759655033364979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3-4106-A1F0-65113248FD7F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[2]HausZFH48!$E$2:$G$2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[2]HausZFH48!$E$64:$G$64</c:f>
              <c:numCache>
                <c:formatCode>General</c:formatCode>
                <c:ptCount val="3"/>
                <c:pt idx="0">
                  <c:v>66.893310175086228</c:v>
                </c:pt>
                <c:pt idx="1">
                  <c:v>66.520696239486185</c:v>
                </c:pt>
                <c:pt idx="2">
                  <c:v>70.787751863366154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73-4106-A1F0-65113248F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8629512"/>
        <c:axId val="478631808"/>
      </c:barChart>
      <c:catAx>
        <c:axId val="47862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8631808"/>
        <c:crosses val="autoZero"/>
        <c:auto val="1"/>
        <c:lblAlgn val="ctr"/>
        <c:lblOffset val="100"/>
        <c:noMultiLvlLbl val="0"/>
      </c:catAx>
      <c:valAx>
        <c:axId val="47863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 loss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86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Net present value</a:t>
            </a:r>
            <a:r>
              <a:rPr lang="en-GB" sz="1000" baseline="0"/>
              <a:t> of net losses for energy-efficient renovation of standard ZFH-48 house, based on </a:t>
            </a:r>
            <a:r>
              <a:rPr lang="en-GB" sz="1000" b="1" baseline="0"/>
              <a:t>2021</a:t>
            </a:r>
            <a:r>
              <a:rPr lang="en-GB" sz="1000" baseline="0"/>
              <a:t> energy and construction prices, excluding and including rebounds/prebounds.</a:t>
            </a:r>
            <a:endParaRPr lang="en-GB" sz="1000"/>
          </a:p>
        </c:rich>
      </c:tx>
      <c:layout>
        <c:manualLayout>
          <c:xMode val="edge"/>
          <c:yMode val="edge"/>
          <c:x val="0.10684931506849314"/>
          <c:y val="3.6548148872695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[2]HausZFH48!$E$2:$G$2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[2]HausZFH48!$E$25:$G$25</c:f>
              <c:numCache>
                <c:formatCode>General</c:formatCode>
                <c:ptCount val="3"/>
                <c:pt idx="0">
                  <c:v>-25163</c:v>
                </c:pt>
                <c:pt idx="1">
                  <c:v>-26644</c:v>
                </c:pt>
                <c:pt idx="2">
                  <c:v>-43800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7-429C-9D44-2EDA646EE455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[2]HausZFH48!$E$2:$G$2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[2]HausZFH48!$E$32:$G$32</c:f>
              <c:numCache>
                <c:formatCode>General</c:formatCode>
                <c:ptCount val="3"/>
                <c:pt idx="0">
                  <c:v>-51098</c:v>
                </c:pt>
                <c:pt idx="1">
                  <c:v>-52871</c:v>
                </c:pt>
                <c:pt idx="2">
                  <c:v>-70085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7-429C-9D44-2EDA646EE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484256"/>
        <c:axId val="741484608"/>
      </c:barChart>
      <c:catAx>
        <c:axId val="74148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608"/>
        <c:crosses val="autoZero"/>
        <c:auto val="1"/>
        <c:lblAlgn val="ctr"/>
        <c:lblOffset val="100"/>
        <c:noMultiLvlLbl val="0"/>
      </c:catAx>
      <c:valAx>
        <c:axId val="74148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cap="all" baseline="0">
                    <a:solidFill>
                      <a:sysClr val="windowText" lastClr="000000"/>
                    </a:solidFill>
                  </a:rPr>
                  <a:t>npv </a:t>
                </a:r>
                <a:r>
                  <a:rPr lang="en-GB" sz="1000" b="0" i="0" u="none" strike="noStrike" kern="1200" cap="none" baseline="0">
                    <a:solidFill>
                      <a:sysClr val="windowText" lastClr="000000"/>
                    </a:solidFill>
                  </a:rPr>
                  <a:t>of net loss or gain (€)</a:t>
                </a:r>
                <a:endParaRPr lang="en-GB" sz="1000" b="0" i="0" u="none" strike="noStrike" kern="1200" baseline="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Net present value</a:t>
            </a:r>
            <a:r>
              <a:rPr lang="en-GB" sz="1000" baseline="0"/>
              <a:t> of net losses for energy-efficient renovation of standard ZFH-48 house, based on </a:t>
            </a:r>
            <a:r>
              <a:rPr lang="en-GB" sz="1000" b="1" baseline="0"/>
              <a:t>2023</a:t>
            </a:r>
            <a:r>
              <a:rPr lang="en-GB" sz="1000" baseline="0"/>
              <a:t> energy and construction prices, excluding and including rebounds/prebounds.</a:t>
            </a:r>
            <a:endParaRPr lang="en-GB" sz="1000"/>
          </a:p>
        </c:rich>
      </c:tx>
      <c:layout>
        <c:manualLayout>
          <c:xMode val="edge"/>
          <c:yMode val="edge"/>
          <c:x val="0.10684931506849314"/>
          <c:y val="3.6548148872695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[2]HausZFH48!$E$2:$G$2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[2]HausZFH48!$E$48:$G$48</c:f>
              <c:numCache>
                <c:formatCode>General</c:formatCode>
                <c:ptCount val="3"/>
                <c:pt idx="0">
                  <c:v>-50878</c:v>
                </c:pt>
                <c:pt idx="1">
                  <c:v>-53581</c:v>
                </c:pt>
                <c:pt idx="2">
                  <c:v>-78045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4-43AE-AB9A-F65FE76AE7EC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[2]HausZFH48!$E$2:$G$2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[2]HausZFH48!$E$55:$G$55</c:f>
              <c:numCache>
                <c:formatCode>General</c:formatCode>
                <c:ptCount val="3"/>
                <c:pt idx="0">
                  <c:v>-81264</c:v>
                </c:pt>
                <c:pt idx="1">
                  <c:v>-84307</c:v>
                </c:pt>
                <c:pt idx="2">
                  <c:v>-108839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74-43AE-AB9A-F65FE76AE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484256"/>
        <c:axId val="741484608"/>
      </c:barChart>
      <c:catAx>
        <c:axId val="74148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608"/>
        <c:crosses val="autoZero"/>
        <c:auto val="1"/>
        <c:lblAlgn val="ctr"/>
        <c:lblOffset val="100"/>
        <c:noMultiLvlLbl val="0"/>
      </c:catAx>
      <c:valAx>
        <c:axId val="741484608"/>
        <c:scaling>
          <c:orientation val="minMax"/>
          <c:min val="-1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cap="all" baseline="0">
                    <a:solidFill>
                      <a:sysClr val="windowText" lastClr="000000"/>
                    </a:solidFill>
                  </a:rPr>
                  <a:t>npv </a:t>
                </a:r>
                <a:r>
                  <a:rPr lang="en-GB" sz="1000" b="0" i="0" u="none" strike="noStrike" kern="1200" cap="none" baseline="0">
                    <a:solidFill>
                      <a:sysClr val="windowText" lastClr="000000"/>
                    </a:solidFill>
                  </a:rPr>
                  <a:t>of net loss or gain (€)</a:t>
                </a:r>
                <a:endParaRPr lang="en-GB" sz="1000" b="0" i="0" u="none" strike="noStrike" kern="1200" baseline="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baseline="0">
                <a:effectLst/>
              </a:rPr>
              <a:t>Energy price (€/kWh) needed for payback within 25 years, energy-efficient renovation of standard EFH-68 house, based on </a:t>
            </a:r>
            <a:r>
              <a:rPr lang="en-GB" sz="1000" b="1" i="0" u="none" strike="noStrike" baseline="0">
                <a:effectLst/>
              </a:rPr>
              <a:t>2023</a:t>
            </a:r>
            <a:r>
              <a:rPr lang="en-GB" sz="1000" b="0" i="0" u="none" strike="noStrike" baseline="0">
                <a:effectLst/>
              </a:rPr>
              <a:t> construction prices,  excluding and including rebounds/prebounds.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[2]HausEFH68!$E$3:$G$3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[2]HausEFH68!$E$48:$G$48</c:f>
              <c:numCache>
                <c:formatCode>General</c:formatCode>
                <c:ptCount val="3"/>
                <c:pt idx="0">
                  <c:v>0.23499999999999999</c:v>
                </c:pt>
                <c:pt idx="1">
                  <c:v>0.249</c:v>
                </c:pt>
                <c:pt idx="2">
                  <c:v>0.26900000000000002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3-4125-BB2B-D522D4C2F36F}"/>
            </c:ext>
          </c:extLst>
        </c:ser>
        <c:ser>
          <c:idx val="1"/>
          <c:order val="1"/>
          <c:tx>
            <c:v>with (prebound)</c:v>
          </c:tx>
          <c:spPr>
            <a:pattFill prst="lgConfetti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[2]HausEFH68!$E$3:$G$3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[2]HausEFH68!$E$55:$G$55</c:f>
              <c:numCache>
                <c:formatCode>General</c:formatCode>
                <c:ptCount val="3"/>
                <c:pt idx="0">
                  <c:v>0.42499999999999999</c:v>
                </c:pt>
                <c:pt idx="1">
                  <c:v>0.44</c:v>
                </c:pt>
                <c:pt idx="2">
                  <c:v>0.46300000000000002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3-4125-BB2B-D522D4C2F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503264"/>
        <c:axId val="741503616"/>
      </c:barChart>
      <c:catAx>
        <c:axId val="7415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616"/>
        <c:crosses val="autoZero"/>
        <c:auto val="1"/>
        <c:lblAlgn val="ctr"/>
        <c:lblOffset val="100"/>
        <c:noMultiLvlLbl val="0"/>
      </c:catAx>
      <c:valAx>
        <c:axId val="7415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price (€/kWh)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Percentage</a:t>
            </a:r>
            <a:r>
              <a:rPr lang="en-GB" sz="1000" baseline="0"/>
              <a:t> increase in net losses when rebound and prebound effects are accounted for, in energy-efficient renovation of standard EFH-68 house, using 2021 and 2023 energy and construction prices. 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2020 prices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[2]HausEFH68!$E$3:$G$3</c15:sqref>
                  </c15:fullRef>
                </c:ext>
              </c:extLst>
              <c:f>[2]HausEFH68!$E$3:$G$3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[2]HausEFH68!$E$37:$H$37</c15:sqref>
                  </c15:fullRef>
                </c:ext>
              </c:extLst>
              <c:f>[2]HausEFH68!$E$37:$G$37</c:f>
              <c:numCache>
                <c:formatCode>General</c:formatCode>
                <c:ptCount val="3"/>
                <c:pt idx="0">
                  <c:v>42.076045292329383</c:v>
                </c:pt>
                <c:pt idx="1">
                  <c:v>36.033550792171482</c:v>
                </c:pt>
                <c:pt idx="2">
                  <c:v>30.306821380539827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C-4793-995E-6720028CB711}"/>
            </c:ext>
          </c:extLst>
        </c:ser>
        <c:ser>
          <c:idx val="1"/>
          <c:order val="1"/>
          <c:tx>
            <c:v>2023 prices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EH-85</c:v>
              </c:pt>
              <c:pt idx="1">
                <c:v>EH-70</c:v>
              </c:pt>
              <c:pt idx="2">
                <c:v>EH-55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[2]HausEFH68!$E$59:$G$59</c15:sqref>
                  </c15:fullRef>
                </c:ext>
              </c:extLst>
              <c:f>[2]HausEFH68!$E$59:$G$59</c:f>
              <c:numCache>
                <c:formatCode>General</c:formatCode>
                <c:ptCount val="3"/>
                <c:pt idx="0">
                  <c:v>29.026567040265672</c:v>
                </c:pt>
                <c:pt idx="1">
                  <c:v>25.763367463026164</c:v>
                </c:pt>
                <c:pt idx="2">
                  <c:v>22.103664472915614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3C-4793-995E-6720028CB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68315968"/>
        <c:axId val="768314208"/>
      </c:barChart>
      <c:catAx>
        <c:axId val="76831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314208"/>
        <c:crosses val="autoZero"/>
        <c:auto val="1"/>
        <c:lblAlgn val="ctr"/>
        <c:lblOffset val="100"/>
        <c:noMultiLvlLbl val="0"/>
      </c:catAx>
      <c:valAx>
        <c:axId val="76831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</a:t>
                </a:r>
                <a:r>
                  <a:rPr lang="en-GB" baseline="0"/>
                  <a:t> increase in net losses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2.5000000000000001E-2"/>
              <c:y val="0.163533829104695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31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baseline="0">
                <a:effectLst/>
              </a:rPr>
              <a:t>Energy price (€/kWh) needed for payback within 25 years, energy-efficient renovation of standard EFH-68 house, based on </a:t>
            </a:r>
            <a:r>
              <a:rPr lang="en-GB" sz="1000" b="1" i="0" u="none" strike="noStrike" baseline="0">
                <a:effectLst/>
              </a:rPr>
              <a:t>2021</a:t>
            </a:r>
            <a:r>
              <a:rPr lang="en-GB" sz="1000" b="0" i="0" u="none" strike="noStrike" baseline="0">
                <a:effectLst/>
              </a:rPr>
              <a:t> construction prices,  excluding and including rebounds/prebounds.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[2]HausEFH68!$E$3:$G$3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[2]HausEFH68!$E$26:$G$26</c:f>
              <c:numCache>
                <c:formatCode>General</c:formatCode>
                <c:ptCount val="3"/>
                <c:pt idx="0">
                  <c:v>0.124</c:v>
                </c:pt>
                <c:pt idx="1">
                  <c:v>0.13200000000000001</c:v>
                </c:pt>
                <c:pt idx="2">
                  <c:v>0.14199999999999999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21-4A7C-A722-E5AD0270EAB8}"/>
            </c:ext>
          </c:extLst>
        </c:ser>
        <c:ser>
          <c:idx val="1"/>
          <c:order val="1"/>
          <c:tx>
            <c:v>with (prebound)</c:v>
          </c:tx>
          <c:spPr>
            <a:pattFill prst="lgConfetti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[2]HausEFH68!$E$3:$G$3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[2]HausEFH68!$E$33:$G$33</c:f>
              <c:numCache>
                <c:formatCode>General</c:formatCode>
                <c:ptCount val="3"/>
                <c:pt idx="0">
                  <c:v>0.219</c:v>
                </c:pt>
                <c:pt idx="1">
                  <c:v>0.23</c:v>
                </c:pt>
                <c:pt idx="2">
                  <c:v>0.24199999999999999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21-4A7C-A722-E5AD0270E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503264"/>
        <c:axId val="741503616"/>
      </c:barChart>
      <c:catAx>
        <c:axId val="7415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616"/>
        <c:crosses val="autoZero"/>
        <c:auto val="1"/>
        <c:lblAlgn val="ctr"/>
        <c:lblOffset val="100"/>
        <c:noMultiLvlLbl val="0"/>
      </c:catAx>
      <c:valAx>
        <c:axId val="7415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price (€/kWh)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Net present value</a:t>
            </a:r>
            <a:r>
              <a:rPr lang="en-GB" sz="1000" baseline="0"/>
              <a:t> of net losses for energy-efficient renovation of standard EFH-68 house, based on </a:t>
            </a:r>
            <a:r>
              <a:rPr lang="en-GB" sz="1000" b="1" baseline="0"/>
              <a:t>2021</a:t>
            </a:r>
            <a:r>
              <a:rPr lang="en-GB" sz="1000" baseline="0"/>
              <a:t> energy and construction prices, excluding and including rebounds/prebounds.</a:t>
            </a:r>
            <a:endParaRPr lang="en-GB" sz="1000"/>
          </a:p>
        </c:rich>
      </c:tx>
      <c:layout>
        <c:manualLayout>
          <c:xMode val="edge"/>
          <c:yMode val="edge"/>
          <c:x val="0.10684931506849314"/>
          <c:y val="3.6548148872695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[2]HausEFH68!$E$3:$G$3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[2]HausEFH68!$E$25:$G$25</c:f>
              <c:numCache>
                <c:formatCode>General</c:formatCode>
                <c:ptCount val="3"/>
                <c:pt idx="0">
                  <c:v>-22697</c:v>
                </c:pt>
                <c:pt idx="1">
                  <c:v>-26825</c:v>
                </c:pt>
                <c:pt idx="2">
                  <c:v>-31973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0-4113-8D68-4A464E2CE30E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[2]HausEFH68!$E$3:$G$3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[2]HausEFH68!$E$32:$G$32</c:f>
              <c:numCache>
                <c:formatCode>General</c:formatCode>
                <c:ptCount val="3"/>
                <c:pt idx="0">
                  <c:v>-32247</c:v>
                </c:pt>
                <c:pt idx="1">
                  <c:v>-36491</c:v>
                </c:pt>
                <c:pt idx="2">
                  <c:v>-41663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D0-4113-8D68-4A464E2CE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484256"/>
        <c:axId val="741484608"/>
      </c:barChart>
      <c:catAx>
        <c:axId val="74148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608"/>
        <c:crosses val="autoZero"/>
        <c:auto val="1"/>
        <c:lblAlgn val="ctr"/>
        <c:lblOffset val="100"/>
        <c:noMultiLvlLbl val="0"/>
      </c:catAx>
      <c:valAx>
        <c:axId val="74148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cap="all" baseline="0">
                    <a:solidFill>
                      <a:sysClr val="windowText" lastClr="000000"/>
                    </a:solidFill>
                  </a:rPr>
                  <a:t>npv </a:t>
                </a:r>
                <a:r>
                  <a:rPr lang="en-GB" sz="1000" b="0" i="0" u="none" strike="noStrike" kern="1200" cap="none" baseline="0">
                    <a:solidFill>
                      <a:sysClr val="windowText" lastClr="000000"/>
                    </a:solidFill>
                  </a:rPr>
                  <a:t>of net loss or gain (€)</a:t>
                </a:r>
                <a:endParaRPr lang="en-GB" sz="1000" b="0" i="0" u="none" strike="noStrike" kern="1200" baseline="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50"/>
              <a:t>House</a:t>
            </a:r>
            <a:r>
              <a:rPr lang="en-GB" sz="1050" baseline="0"/>
              <a:t> EFH68 </a:t>
            </a:r>
            <a:r>
              <a:rPr lang="en-GB" sz="1050"/>
              <a:t>NPV losses as percentage of NPV cost, 2023, without</a:t>
            </a:r>
            <a:r>
              <a:rPr lang="en-GB" sz="1050" baseline="0"/>
              <a:t> and with</a:t>
            </a:r>
            <a:r>
              <a:rPr lang="en-GB" sz="1050"/>
              <a:t> (p)rebound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[2]HausEFH68!$E$3:$G$3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[2]HausEFH68!$E$62:$G$62</c:f>
              <c:numCache>
                <c:formatCode>General</c:formatCode>
                <c:ptCount val="3"/>
                <c:pt idx="0">
                  <c:v>60.292829433112246</c:v>
                </c:pt>
                <c:pt idx="1">
                  <c:v>62.469795605082865</c:v>
                </c:pt>
                <c:pt idx="2">
                  <c:v>65.188363119415101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C-434D-898A-D83D9658C6E8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[2]HausEFH68!$E$3:$G$3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[2]HausEFH68!$E$63:$G$63</c:f>
              <c:numCache>
                <c:formatCode>General</c:formatCode>
                <c:ptCount val="3"/>
                <c:pt idx="0">
                  <c:v>77.793767988987611</c:v>
                </c:pt>
                <c:pt idx="1">
                  <c:v>78.564118600221732</c:v>
                </c:pt>
                <c:pt idx="2">
                  <c:v>79.597380178716492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9C-434D-898A-D83D9658C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8629512"/>
        <c:axId val="478631808"/>
      </c:barChart>
      <c:catAx>
        <c:axId val="47862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8631808"/>
        <c:crosses val="autoZero"/>
        <c:auto val="1"/>
        <c:lblAlgn val="ctr"/>
        <c:lblOffset val="100"/>
        <c:noMultiLvlLbl val="0"/>
      </c:catAx>
      <c:valAx>
        <c:axId val="47863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 loss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86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baseline="0">
                <a:effectLst/>
              </a:rPr>
              <a:t>Energy price needed for payback within 25 years, energy-efficient renovation of MFH-57 apartment building in Augsburg, based on 2023 construction prices,  excluding and including rebounds/prebounds.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[1]AugsburgMFH57!$E$5:$H$5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[1]AugsburgMFH57!$E$47:$H$47</c:f>
              <c:numCache>
                <c:formatCode>General</c:formatCode>
                <c:ptCount val="4"/>
                <c:pt idx="0">
                  <c:v>0.106</c:v>
                </c:pt>
                <c:pt idx="1">
                  <c:v>0.193</c:v>
                </c:pt>
                <c:pt idx="2">
                  <c:v>0.14599999999999999</c:v>
                </c:pt>
                <c:pt idx="3">
                  <c:v>0.16800000000000001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D-4075-8218-54B249D35E1E}"/>
            </c:ext>
          </c:extLst>
        </c:ser>
        <c:ser>
          <c:idx val="1"/>
          <c:order val="1"/>
          <c:tx>
            <c:v>with (prebound)</c:v>
          </c:tx>
          <c:spPr>
            <a:pattFill prst="lgConfetti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[1]AugsburgMFH57!$E$5:$H$5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[1]AugsburgMFH57!$E$54:$H$54</c:f>
              <c:numCache>
                <c:formatCode>General</c:formatCode>
                <c:ptCount val="4"/>
                <c:pt idx="0">
                  <c:v>0.125</c:v>
                </c:pt>
                <c:pt idx="1">
                  <c:v>0.27600000000000002</c:v>
                </c:pt>
                <c:pt idx="2">
                  <c:v>0.19800000000000001</c:v>
                </c:pt>
                <c:pt idx="3">
                  <c:v>0.22800000000000001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7D-4075-8218-54B249D3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503264"/>
        <c:axId val="741503616"/>
      </c:barChart>
      <c:catAx>
        <c:axId val="7415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616"/>
        <c:crosses val="autoZero"/>
        <c:auto val="1"/>
        <c:lblAlgn val="ctr"/>
        <c:lblOffset val="100"/>
        <c:noMultiLvlLbl val="0"/>
      </c:catAx>
      <c:valAx>
        <c:axId val="7415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price (€/kWh)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Net present value</a:t>
            </a:r>
            <a:r>
              <a:rPr lang="en-GB" sz="1000" baseline="0"/>
              <a:t> of net losses for energy-efficient renovation of standard EFH-68 house, based on </a:t>
            </a:r>
            <a:r>
              <a:rPr lang="en-GB" sz="1000" b="1" baseline="0"/>
              <a:t>2023</a:t>
            </a:r>
            <a:r>
              <a:rPr lang="en-GB" sz="1000" baseline="0"/>
              <a:t> energy and construction prices, excluding and including rebounds/prebounds.</a:t>
            </a:r>
            <a:endParaRPr lang="en-GB" sz="1000"/>
          </a:p>
        </c:rich>
      </c:tx>
      <c:layout>
        <c:manualLayout>
          <c:xMode val="edge"/>
          <c:yMode val="edge"/>
          <c:x val="0.1039653929343907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[2]HausEFH68!$E$3:$G$3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[2]HausEFH68!$E$47:$G$47</c:f>
              <c:numCache>
                <c:formatCode>General</c:formatCode>
                <c:ptCount val="3"/>
                <c:pt idx="0">
                  <c:v>-38544</c:v>
                </c:pt>
                <c:pt idx="1">
                  <c:v>-43950</c:v>
                </c:pt>
                <c:pt idx="2">
                  <c:v>-51358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B-4A08-9740-E14154A09527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rgbClr val="0070C0"/>
              </a:fgClr>
              <a:bgClr>
                <a:schemeClr val="bg1"/>
              </a:bgClr>
            </a:patt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[2]HausEFH68!$E$3:$G$3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[2]HausEFH68!$E$54:$G$54</c:f>
              <c:numCache>
                <c:formatCode>General</c:formatCode>
                <c:ptCount val="3"/>
                <c:pt idx="0">
                  <c:v>-49732</c:v>
                </c:pt>
                <c:pt idx="1">
                  <c:v>-55273</c:v>
                </c:pt>
                <c:pt idx="2">
                  <c:v>-62710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EB-4A08-9740-E14154A09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484256"/>
        <c:axId val="741484608"/>
      </c:barChart>
      <c:catAx>
        <c:axId val="74148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608"/>
        <c:crosses val="autoZero"/>
        <c:auto val="1"/>
        <c:lblAlgn val="ctr"/>
        <c:lblOffset val="100"/>
        <c:noMultiLvlLbl val="0"/>
      </c:catAx>
      <c:valAx>
        <c:axId val="74148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cap="all" baseline="0">
                    <a:solidFill>
                      <a:sysClr val="windowText" lastClr="000000"/>
                    </a:solidFill>
                  </a:rPr>
                  <a:t>npv </a:t>
                </a:r>
                <a:r>
                  <a:rPr lang="en-GB" sz="1000" b="0" i="0" u="none" strike="noStrike" kern="1200" cap="none" baseline="0">
                    <a:solidFill>
                      <a:sysClr val="windowText" lastClr="000000"/>
                    </a:solidFill>
                  </a:rPr>
                  <a:t>of net loss or gain (€)</a:t>
                </a:r>
                <a:endParaRPr lang="en-GB" sz="1000" b="0" i="0" u="none" strike="noStrike" kern="1200" baseline="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Net present value</a:t>
            </a:r>
            <a:r>
              <a:rPr lang="en-GB" sz="1000" baseline="0"/>
              <a:t> of net losses for energy-efficient renovation of standard EFH-78 house, based on </a:t>
            </a:r>
            <a:r>
              <a:rPr lang="en-GB" sz="1000" b="1" baseline="0"/>
              <a:t>2021</a:t>
            </a:r>
            <a:r>
              <a:rPr lang="en-GB" sz="1000" baseline="0"/>
              <a:t> energy and construction prices, excluding and including rebounds/prebounds.</a:t>
            </a:r>
            <a:endParaRPr lang="en-GB" sz="1000"/>
          </a:p>
        </c:rich>
      </c:tx>
      <c:layout>
        <c:manualLayout>
          <c:xMode val="edge"/>
          <c:yMode val="edge"/>
          <c:x val="0.10684931506849314"/>
          <c:y val="3.6548148872695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[2]HausEFH78!$E$2:$G$2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[2]HausEFH78!$E$23:$G$23</c:f>
              <c:numCache>
                <c:formatCode>General</c:formatCode>
                <c:ptCount val="3"/>
                <c:pt idx="0">
                  <c:v>-33043</c:v>
                </c:pt>
                <c:pt idx="1">
                  <c:v>-36511</c:v>
                </c:pt>
                <c:pt idx="2">
                  <c:v>-46252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B-4BBF-A391-71B729A146D1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[2]HausEFH78!$E$2:$G$2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[2]HausEFH78!$E$30:$G$30</c:f>
              <c:numCache>
                <c:formatCode>General</c:formatCode>
                <c:ptCount val="3"/>
                <c:pt idx="0">
                  <c:v>-45545</c:v>
                </c:pt>
                <c:pt idx="1">
                  <c:v>-49179</c:v>
                </c:pt>
                <c:pt idx="2">
                  <c:v>-58954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B-4BBF-A391-71B729A14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484256"/>
        <c:axId val="741484608"/>
      </c:barChart>
      <c:catAx>
        <c:axId val="74148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608"/>
        <c:crosses val="autoZero"/>
        <c:auto val="1"/>
        <c:lblAlgn val="ctr"/>
        <c:lblOffset val="100"/>
        <c:noMultiLvlLbl val="0"/>
      </c:catAx>
      <c:valAx>
        <c:axId val="74148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cap="all" baseline="0">
                    <a:solidFill>
                      <a:sysClr val="windowText" lastClr="000000"/>
                    </a:solidFill>
                  </a:rPr>
                  <a:t>npv </a:t>
                </a:r>
                <a:r>
                  <a:rPr lang="en-GB" sz="1000" b="0" i="0" u="none" strike="noStrike" kern="1200" cap="none" baseline="0">
                    <a:solidFill>
                      <a:sysClr val="windowText" lastClr="000000"/>
                    </a:solidFill>
                  </a:rPr>
                  <a:t>of net loss or gain (€)</a:t>
                </a:r>
                <a:endParaRPr lang="en-GB" sz="1000" b="0" i="0" u="none" strike="noStrike" kern="1200" baseline="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Net present value</a:t>
            </a:r>
            <a:r>
              <a:rPr lang="en-GB" sz="1000" baseline="0"/>
              <a:t> of net losses for energy-efficient renovation of standard EFH-78 house, based on </a:t>
            </a:r>
            <a:r>
              <a:rPr lang="en-GB" sz="1000" b="1" baseline="0"/>
              <a:t>2023</a:t>
            </a:r>
            <a:r>
              <a:rPr lang="en-GB" sz="1000" baseline="0"/>
              <a:t> energy and construction prices, excluding and including rebounds/prebounds.</a:t>
            </a:r>
            <a:endParaRPr lang="en-GB" sz="1000"/>
          </a:p>
        </c:rich>
      </c:tx>
      <c:layout>
        <c:manualLayout>
          <c:xMode val="edge"/>
          <c:yMode val="edge"/>
          <c:x val="0.10684931506849314"/>
          <c:y val="3.6548148872695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[2]HausEFH78!$E$2:$G$2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[2]HausEFH78!$E$45:$G$45</c:f>
              <c:numCache>
                <c:formatCode>General</c:formatCode>
                <c:ptCount val="3"/>
                <c:pt idx="0">
                  <c:v>-53795</c:v>
                </c:pt>
                <c:pt idx="1">
                  <c:v>-58991</c:v>
                </c:pt>
                <c:pt idx="2">
                  <c:v>-72991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9-48BC-8D01-82C020E98B09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[2]HausEFH78!$E$2:$G$2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[2]HausEFH78!$E$52:$G$52</c:f>
              <c:numCache>
                <c:formatCode>General</c:formatCode>
                <c:ptCount val="3"/>
                <c:pt idx="0">
                  <c:v>-68443</c:v>
                </c:pt>
                <c:pt idx="1">
                  <c:v>-73833</c:v>
                </c:pt>
                <c:pt idx="2">
                  <c:v>-87872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49-48BC-8D01-82C020E98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484256"/>
        <c:axId val="741484608"/>
      </c:barChart>
      <c:catAx>
        <c:axId val="74148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608"/>
        <c:crosses val="autoZero"/>
        <c:auto val="1"/>
        <c:lblAlgn val="ctr"/>
        <c:lblOffset val="100"/>
        <c:noMultiLvlLbl val="0"/>
      </c:catAx>
      <c:valAx>
        <c:axId val="74148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cap="all" baseline="0">
                    <a:solidFill>
                      <a:sysClr val="windowText" lastClr="000000"/>
                    </a:solidFill>
                  </a:rPr>
                  <a:t>npv </a:t>
                </a:r>
                <a:r>
                  <a:rPr lang="en-GB" sz="1000" b="0" i="0" u="none" strike="noStrike" kern="1200" cap="none" baseline="0">
                    <a:solidFill>
                      <a:sysClr val="windowText" lastClr="000000"/>
                    </a:solidFill>
                  </a:rPr>
                  <a:t>of net loss or gain (€)</a:t>
                </a:r>
                <a:endParaRPr lang="en-GB" sz="1000" b="0" i="0" u="none" strike="noStrike" kern="1200" baseline="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baseline="0">
                <a:effectLst/>
              </a:rPr>
              <a:t>Energy price (€/kWh) needed for payback within 25 years, energy-efficient renovation of standard EFH-78 house, based on </a:t>
            </a:r>
            <a:r>
              <a:rPr lang="en-GB" sz="1000" b="1" i="0" u="none" strike="noStrike" baseline="0">
                <a:effectLst/>
              </a:rPr>
              <a:t>2021</a:t>
            </a:r>
            <a:r>
              <a:rPr lang="en-GB" sz="1000" b="0" i="0" u="none" strike="noStrike" baseline="0">
                <a:effectLst/>
              </a:rPr>
              <a:t> construction prices,  excluding and including rebounds/prebounds.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[2]HausEFH78!$E$2:$G$2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[2]HausEFH78!$E$24:$G$24</c:f>
              <c:numCache>
                <c:formatCode>General</c:formatCode>
                <c:ptCount val="3"/>
                <c:pt idx="0">
                  <c:v>0.13200000000000001</c:v>
                </c:pt>
                <c:pt idx="1">
                  <c:v>0.13600000000000001</c:v>
                </c:pt>
                <c:pt idx="2">
                  <c:v>0.153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7-4CF4-9586-7D6A7C891DAF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[2]HausEFH78!$E$2:$G$2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[2]HausEFH78!$E$31:$G$31</c:f>
              <c:numCache>
                <c:formatCode>General</c:formatCode>
                <c:ptCount val="3"/>
                <c:pt idx="0">
                  <c:v>0.24099999999999999</c:v>
                </c:pt>
                <c:pt idx="1">
                  <c:v>0.24299999999999999</c:v>
                </c:pt>
                <c:pt idx="2">
                  <c:v>0.26400000000000001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37-4CF4-9586-7D6A7C891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503264"/>
        <c:axId val="741503616"/>
      </c:barChart>
      <c:catAx>
        <c:axId val="7415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616"/>
        <c:crosses val="autoZero"/>
        <c:auto val="1"/>
        <c:lblAlgn val="ctr"/>
        <c:lblOffset val="100"/>
        <c:noMultiLvlLbl val="0"/>
      </c:catAx>
      <c:valAx>
        <c:axId val="7415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price (€/kWh)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baseline="0">
                <a:effectLst/>
              </a:rPr>
              <a:t>Energy price (€/kWh) needed for payback within 25 years, energy-efficient renovation of standard EFH-78 house, based on </a:t>
            </a:r>
            <a:r>
              <a:rPr lang="en-GB" sz="1000" b="1" i="0" u="none" strike="noStrike" baseline="0">
                <a:effectLst/>
              </a:rPr>
              <a:t>2023</a:t>
            </a:r>
            <a:r>
              <a:rPr lang="en-GB" sz="1000" b="0" i="0" u="none" strike="noStrike" baseline="0">
                <a:effectLst/>
              </a:rPr>
              <a:t> construction prices,  excluding and including rebounds/prebounds.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[2]HausEFH78!$E$2:$G$2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[2]HausEFH78!$E$46:$G$46</c:f>
              <c:numCache>
                <c:formatCode>General</c:formatCode>
                <c:ptCount val="3"/>
                <c:pt idx="0">
                  <c:v>0.249</c:v>
                </c:pt>
                <c:pt idx="1">
                  <c:v>0.25700000000000001</c:v>
                </c:pt>
                <c:pt idx="2">
                  <c:v>0.28799999999999998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0D-4B60-979A-669D4BB791A9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[2]HausEFH78!$E$2:$G$2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[2]HausEFH78!$E$53:$G$53</c:f>
              <c:numCache>
                <c:formatCode>General</c:formatCode>
                <c:ptCount val="3"/>
                <c:pt idx="0">
                  <c:v>0.46</c:v>
                </c:pt>
                <c:pt idx="1">
                  <c:v>0.46200000000000002</c:v>
                </c:pt>
                <c:pt idx="2">
                  <c:v>0.502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0D-4B60-979A-669D4BB7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503264"/>
        <c:axId val="741503616"/>
      </c:barChart>
      <c:catAx>
        <c:axId val="7415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616"/>
        <c:crosses val="autoZero"/>
        <c:auto val="1"/>
        <c:lblAlgn val="ctr"/>
        <c:lblOffset val="100"/>
        <c:noMultiLvlLbl val="0"/>
      </c:catAx>
      <c:valAx>
        <c:axId val="7415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price (€/kWh)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Percentage</a:t>
            </a:r>
            <a:r>
              <a:rPr lang="en-GB" sz="1000" baseline="0"/>
              <a:t> increase in net losses when rebound and prebound effects are accounted for, in energy-efficient renovation of standard EFH-78 house, using 2021 and 2023 energy and construction prices. 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2020 prices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[2]HausEFH78!$E$2:$G$2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[2]HausEFH78!$E$35:$G$35</c:f>
              <c:numCache>
                <c:formatCode>General</c:formatCode>
                <c:ptCount val="3"/>
                <c:pt idx="0">
                  <c:v>27.449774947853772</c:v>
                </c:pt>
                <c:pt idx="1">
                  <c:v>25.758962158644948</c:v>
                </c:pt>
                <c:pt idx="2">
                  <c:v>21.545611832954506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6-41DD-8B9A-701680618B4B}"/>
            </c:ext>
          </c:extLst>
        </c:ser>
        <c:ser>
          <c:idx val="1"/>
          <c:order val="1"/>
          <c:tx>
            <c:v>2023 prices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[2]HausEFH78!$E$2:$G$2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[2]HausEFH78!$E$57:$G$57</c:f>
              <c:numCache>
                <c:formatCode>General</c:formatCode>
                <c:ptCount val="3"/>
                <c:pt idx="0">
                  <c:v>21.401750361614774</c:v>
                </c:pt>
                <c:pt idx="1">
                  <c:v>20.102122357211545</c:v>
                </c:pt>
                <c:pt idx="2">
                  <c:v>16.934859796067006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E6-41DD-8B9A-701680618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68315968"/>
        <c:axId val="768314208"/>
      </c:barChart>
      <c:catAx>
        <c:axId val="76831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314208"/>
        <c:crosses val="autoZero"/>
        <c:auto val="1"/>
        <c:lblAlgn val="ctr"/>
        <c:lblOffset val="100"/>
        <c:noMultiLvlLbl val="0"/>
      </c:catAx>
      <c:valAx>
        <c:axId val="76831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</a:t>
                </a:r>
                <a:r>
                  <a:rPr lang="en-GB" baseline="0"/>
                  <a:t> increase in net losses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2.5000000000000001E-2"/>
              <c:y val="0.163533829104695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31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50"/>
              <a:t>House</a:t>
            </a:r>
            <a:r>
              <a:rPr lang="en-GB" sz="1050" baseline="0"/>
              <a:t> EFH68 </a:t>
            </a:r>
            <a:r>
              <a:rPr lang="en-GB" sz="1050"/>
              <a:t>NPV losses as percentage of NPV cost, 2023, without</a:t>
            </a:r>
            <a:r>
              <a:rPr lang="en-GB" sz="1050" baseline="0"/>
              <a:t> and with</a:t>
            </a:r>
            <a:r>
              <a:rPr lang="en-GB" sz="1050"/>
              <a:t> (p)rebound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[2]HausEFH78!$E$2:$G$2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[2]HausEFH78!$E$60:$G$60</c:f>
              <c:numCache>
                <c:formatCode>General</c:formatCode>
                <c:ptCount val="3"/>
                <c:pt idx="0">
                  <c:v>62.450661713489666</c:v>
                </c:pt>
                <c:pt idx="1">
                  <c:v>63.573368393827053</c:v>
                </c:pt>
                <c:pt idx="2">
                  <c:v>67.428175519630486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5-4DEC-965C-A29AFE97CD16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[2]HausEFH78!$E$2:$G$2</c:f>
              <c:strCache>
                <c:ptCount val="3"/>
                <c:pt idx="0">
                  <c:v>EH-85</c:v>
                </c:pt>
                <c:pt idx="1">
                  <c:v>EH-70</c:v>
                </c:pt>
                <c:pt idx="2">
                  <c:v>EH-55</c:v>
                </c:pt>
              </c:strCache>
            </c:strRef>
          </c:cat>
          <c:val>
            <c:numRef>
              <c:f>[2]HausEFH78!$E$61:$G$61</c:f>
              <c:numCache>
                <c:formatCode>General</c:formatCode>
                <c:ptCount val="3"/>
                <c:pt idx="0">
                  <c:v>79.455537497097751</c:v>
                </c:pt>
                <c:pt idx="1">
                  <c:v>79.568281748426585</c:v>
                </c:pt>
                <c:pt idx="2">
                  <c:v>81.175057736720561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5-4DEC-965C-A29AFE97C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8629512"/>
        <c:axId val="478631808"/>
      </c:barChart>
      <c:catAx>
        <c:axId val="47862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8631808"/>
        <c:crosses val="autoZero"/>
        <c:auto val="1"/>
        <c:lblAlgn val="ctr"/>
        <c:lblOffset val="100"/>
        <c:noMultiLvlLbl val="0"/>
      </c:catAx>
      <c:valAx>
        <c:axId val="47863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 loss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86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baseline="0">
                <a:effectLst/>
              </a:rPr>
              <a:t>Net present value of net gains or losses for energy-efficient renovation of MFH-57 apartment building in Augsburg, based on 2023 energy and construction prices,  excluding and including rebounds/prebounds.</a:t>
            </a:r>
            <a:endParaRPr lang="en-GB" sz="1000">
              <a:effectLst/>
            </a:endParaRPr>
          </a:p>
        </c:rich>
      </c:tx>
      <c:layout>
        <c:manualLayout>
          <c:xMode val="edge"/>
          <c:yMode val="edge"/>
          <c:x val="0.1002166492194256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updated &amp; 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[1]AugsburgMFH57!$E$5:$H$5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[1]AugsburgMFH57!$E$46:$H$46</c:f>
              <c:numCache>
                <c:formatCode>General</c:formatCode>
                <c:ptCount val="4"/>
                <c:pt idx="0">
                  <c:v>-13381</c:v>
                </c:pt>
                <c:pt idx="1">
                  <c:v>-104702</c:v>
                </c:pt>
                <c:pt idx="2">
                  <c:v>-66992</c:v>
                </c:pt>
                <c:pt idx="3">
                  <c:v>-92159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3-4F32-B3D1-6A4879D699FA}"/>
            </c:ext>
          </c:extLst>
        </c:ser>
        <c:ser>
          <c:idx val="2"/>
          <c:order val="1"/>
          <c:tx>
            <c:v>updated &amp; with (p)rebound</c:v>
          </c:tx>
          <c:spPr>
            <a:pattFill prst="lgConfetti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[1]AugsburgMFH57!$E$5:$H$5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[1]AugsburgMFH57!$E$53:$H$53</c:f>
              <c:numCache>
                <c:formatCode>General</c:formatCode>
                <c:ptCount val="4"/>
                <c:pt idx="0">
                  <c:v>-40063</c:v>
                </c:pt>
                <c:pt idx="1">
                  <c:v>-133101</c:v>
                </c:pt>
                <c:pt idx="2">
                  <c:v>-95072</c:v>
                </c:pt>
                <c:pt idx="3">
                  <c:v>-121380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03-4F32-B3D1-6A4879D69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25"/>
        <c:axId val="741484256"/>
        <c:axId val="741484608"/>
      </c:barChart>
      <c:catAx>
        <c:axId val="74148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608"/>
        <c:crosses val="autoZero"/>
        <c:auto val="1"/>
        <c:lblAlgn val="ctr"/>
        <c:lblOffset val="100"/>
        <c:noMultiLvlLbl val="0"/>
      </c:catAx>
      <c:valAx>
        <c:axId val="74148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cap="all" baseline="0">
                    <a:solidFill>
                      <a:sysClr val="windowText" lastClr="000000"/>
                    </a:solidFill>
                  </a:rPr>
                  <a:t>npv </a:t>
                </a:r>
                <a:r>
                  <a:rPr lang="en-GB" sz="1000" b="0" i="0" u="none" strike="noStrike" kern="1200" cap="none" baseline="0">
                    <a:solidFill>
                      <a:sysClr val="windowText" lastClr="000000"/>
                    </a:solidFill>
                  </a:rPr>
                  <a:t>of net loss or gain (€)</a:t>
                </a:r>
                <a:endParaRPr lang="en-GB" sz="1000" b="0" i="0" u="none" strike="noStrike" kern="1200" baseline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4682080924855488E-2"/>
              <c:y val="0.285215154026799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48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50"/>
              <a:t>Apartment building MFH57 NPV losses as percentage of NPV cost, 2023, without and with (p)rebound. Note that</a:t>
            </a:r>
            <a:r>
              <a:rPr lang="en-GB" sz="1050" baseline="0"/>
              <a:t> losses are displayed as positive on the graph.</a:t>
            </a:r>
            <a:endParaRPr lang="en-GB" sz="105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[1]AugsburgMFH57!$E$5:$H$5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[1]AugsburgMFH57!$E$61:$H$61</c:f>
              <c:numCache>
                <c:formatCode>General</c:formatCode>
                <c:ptCount val="4"/>
                <c:pt idx="0">
                  <c:v>13.704985865869146</c:v>
                </c:pt>
                <c:pt idx="1">
                  <c:v>51.895873192105235</c:v>
                </c:pt>
                <c:pt idx="2">
                  <c:v>37.089201877934272</c:v>
                </c:pt>
                <c:pt idx="3">
                  <c:v>44.639864373940419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3-4B90-A3BF-E40A6FCBF4D4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[1]AugsburgMFH57!$E$5:$H$5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[1]AugsburgMFH57!$E$62:$H$62</c:f>
              <c:numCache>
                <c:formatCode>General</c:formatCode>
                <c:ptCount val="4"/>
                <c:pt idx="0">
                  <c:v>41.034701737135364</c:v>
                </c:pt>
                <c:pt idx="1">
                  <c:v>65.971926207163179</c:v>
                </c:pt>
                <c:pt idx="2">
                  <c:v>52.635308707591463</c:v>
                </c:pt>
                <c:pt idx="3">
                  <c:v>58.79389682731896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3-4B90-A3BF-E40A6FCBF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8629512"/>
        <c:axId val="478631808"/>
      </c:barChart>
      <c:catAx>
        <c:axId val="47862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8631808"/>
        <c:crosses val="autoZero"/>
        <c:auto val="1"/>
        <c:lblAlgn val="ctr"/>
        <c:lblOffset val="100"/>
        <c:noMultiLvlLbl val="0"/>
      </c:catAx>
      <c:valAx>
        <c:axId val="47863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 loss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86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Percentage</a:t>
            </a:r>
            <a:r>
              <a:rPr lang="en-GB" sz="1000" baseline="0"/>
              <a:t> increase in net losses when rebound and prebound effects are accounted for, in energy-efficient renovation of MFH-57 apartment building in Augsburg, using 2020 and 2023 energy and construction prices. 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2020 prices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[1]AugsburgMFH57!$E$5:$H$5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[1]AugsburgMFH57!$E$35:$H$35</c:f>
              <c:numCache>
                <c:formatCode>General</c:formatCode>
                <c:ptCount val="4"/>
                <c:pt idx="1">
                  <c:v>54.715977426218885</c:v>
                </c:pt>
                <c:pt idx="2">
                  <c:v>216.12056684411786</c:v>
                </c:pt>
                <c:pt idx="3">
                  <c:v>78.879626542180731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A-47DA-9F91-1BCA0E2D17C0}"/>
            </c:ext>
          </c:extLst>
        </c:ser>
        <c:ser>
          <c:idx val="1"/>
          <c:order val="1"/>
          <c:tx>
            <c:v>2023 prices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[1]AugsburgMFH57!$E$58:$H$58</c:f>
              <c:numCache>
                <c:formatCode>General</c:formatCode>
                <c:ptCount val="4"/>
                <c:pt idx="0">
                  <c:v>199.40213735894179</c:v>
                </c:pt>
                <c:pt idx="1">
                  <c:v>27.123646157666521</c:v>
                </c:pt>
                <c:pt idx="2">
                  <c:v>41.915452591354189</c:v>
                </c:pt>
                <c:pt idx="3">
                  <c:v>31.707158280797316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4A-47DA-9F91-1BCA0E2D1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68315968"/>
        <c:axId val="768314208"/>
      </c:barChart>
      <c:catAx>
        <c:axId val="76831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314208"/>
        <c:crosses val="autoZero"/>
        <c:auto val="1"/>
        <c:lblAlgn val="ctr"/>
        <c:lblOffset val="100"/>
        <c:noMultiLvlLbl val="0"/>
      </c:catAx>
      <c:valAx>
        <c:axId val="76831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</a:t>
                </a:r>
                <a:r>
                  <a:rPr lang="en-GB" baseline="0"/>
                  <a:t> increase in net losses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2.5000000000000001E-2"/>
              <c:y val="0.163533829104695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31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baseline="0">
                <a:effectLst/>
              </a:rPr>
              <a:t>Energy price (€/kWh) needed for payback within 25 years, energy-efficient renovation of GMFH-68 apartment building in Augsburg, based on 2020 construction prices,  excluding and including rebounds/prebounds.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[1]AugsburgGMFH78!$E$2:$H$2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[1]AugsbGMFH68!$E$28:$H$28</c:f>
              <c:numCache>
                <c:formatCode>General</c:formatCode>
                <c:ptCount val="4"/>
                <c:pt idx="0">
                  <c:v>5.5E-2</c:v>
                </c:pt>
                <c:pt idx="1">
                  <c:v>9.6000000000000002E-2</c:v>
                </c:pt>
                <c:pt idx="2">
                  <c:v>0.09</c:v>
                </c:pt>
                <c:pt idx="3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6-4192-8B88-C27F27486AA9}"/>
            </c:ext>
          </c:extLst>
        </c:ser>
        <c:ser>
          <c:idx val="1"/>
          <c:order val="1"/>
          <c:tx>
            <c:v>with (prebound)</c:v>
          </c:tx>
          <c:spPr>
            <a:pattFill prst="lgConfetti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[1]AugsburgGMFH78!$E$2:$H$2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[1]AugsbGMFH68!$E$36:$H$36</c:f>
              <c:numCache>
                <c:formatCode>General</c:formatCode>
                <c:ptCount val="4"/>
                <c:pt idx="0">
                  <c:v>8.6999999999999994E-2</c:v>
                </c:pt>
                <c:pt idx="1">
                  <c:v>0.13600000000000001</c:v>
                </c:pt>
                <c:pt idx="2">
                  <c:v>0.155</c:v>
                </c:pt>
                <c:pt idx="3">
                  <c:v>6.0999999999999999E-2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6-4192-8B88-C27F27486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503264"/>
        <c:axId val="741503616"/>
      </c:barChart>
      <c:catAx>
        <c:axId val="7415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616"/>
        <c:crosses val="autoZero"/>
        <c:auto val="1"/>
        <c:lblAlgn val="ctr"/>
        <c:lblOffset val="200"/>
        <c:noMultiLvlLbl val="0"/>
      </c:catAx>
      <c:valAx>
        <c:axId val="7415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price (€/kWh)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baseline="0">
                <a:effectLst/>
              </a:rPr>
              <a:t>Energy price (€/kWh) needed for payback within 25 years, energy-efficient renovation of GMFH-68 apartment building in Augsburg, based on 2023 construction prices,  excluding and including rebounds/prebounds.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[1]AugsbGMFH68!$E$2:$H$2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[1]AugsbGMFH68!$E$53:$H$53</c:f>
              <c:numCache>
                <c:formatCode>General</c:formatCode>
                <c:ptCount val="4"/>
                <c:pt idx="0">
                  <c:v>0.108</c:v>
                </c:pt>
                <c:pt idx="1">
                  <c:v>0.19</c:v>
                </c:pt>
                <c:pt idx="2">
                  <c:v>0.22600000000000001</c:v>
                </c:pt>
                <c:pt idx="3">
                  <c:v>0.13200000000000001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B-4B21-BBFC-1A5E0933E0F3}"/>
            </c:ext>
          </c:extLst>
        </c:ser>
        <c:ser>
          <c:idx val="1"/>
          <c:order val="1"/>
          <c:tx>
            <c:v>with (prebound)</c:v>
          </c:tx>
          <c:spPr>
            <a:pattFill prst="lgConfetti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[1]AugsbGMFH68!$E$2:$H$2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[1]AugsbGMFH68!$E$61:$H$61</c:f>
              <c:numCache>
                <c:formatCode>General</c:formatCode>
                <c:ptCount val="4"/>
                <c:pt idx="0">
                  <c:v>0.17499999999999999</c:v>
                </c:pt>
                <c:pt idx="1">
                  <c:v>0.28199999999999997</c:v>
                </c:pt>
                <c:pt idx="2">
                  <c:v>0.31900000000000001</c:v>
                </c:pt>
                <c:pt idx="3">
                  <c:v>0.155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B-4B21-BBFC-1A5E0933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25"/>
        <c:axId val="741503264"/>
        <c:axId val="741503616"/>
      </c:barChart>
      <c:catAx>
        <c:axId val="7415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616"/>
        <c:crosses val="autoZero"/>
        <c:auto val="1"/>
        <c:lblAlgn val="ctr"/>
        <c:lblOffset val="200"/>
        <c:noMultiLvlLbl val="0"/>
      </c:catAx>
      <c:valAx>
        <c:axId val="7415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price (€/kWh)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15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50"/>
              <a:t>Apartment building GMFH68 NPV losses as percentage of NPV cost, 2023, without and with (p)rebound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(p)rebound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[1]AugsbGMFH68!$E$2:$H$2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[1]AugsbGMFH68!$E$68:$H$68</c:f>
              <c:numCache>
                <c:formatCode>General</c:formatCode>
                <c:ptCount val="4"/>
                <c:pt idx="0">
                  <c:v>15.444074285174359</c:v>
                </c:pt>
                <c:pt idx="1">
                  <c:v>50.815759904309687</c:v>
                </c:pt>
                <c:pt idx="2">
                  <c:v>57.537160505454324</c:v>
                </c:pt>
                <c:pt idx="3">
                  <c:v>88.815838849611978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4-46DD-A41A-E524F6F1AD2E}"/>
            </c:ext>
          </c:extLst>
        </c:ser>
        <c:ser>
          <c:idx val="1"/>
          <c:order val="1"/>
          <c:tx>
            <c:v>with (p)rebound</c:v>
          </c:tx>
          <c:spPr>
            <a:pattFill prst="lgConfetti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[1]AugsbGMFH68!$E$2:$H$2</c:f>
              <c:strCache>
                <c:ptCount val="4"/>
                <c:pt idx="0">
                  <c:v>EH-140</c:v>
                </c:pt>
                <c:pt idx="1">
                  <c:v>EH-100</c:v>
                </c:pt>
                <c:pt idx="2">
                  <c:v>EH-70 </c:v>
                </c:pt>
                <c:pt idx="3">
                  <c:v>EH-55 </c:v>
                </c:pt>
              </c:strCache>
            </c:strRef>
          </c:cat>
          <c:val>
            <c:numRef>
              <c:f>[1]AugsbGMFH68!$E$69:$H$69</c:f>
              <c:numCache>
                <c:formatCode>General</c:formatCode>
                <c:ptCount val="4"/>
                <c:pt idx="0">
                  <c:v>46.423357219274159</c:v>
                </c:pt>
                <c:pt idx="1">
                  <c:v>66.700061618761097</c:v>
                </c:pt>
                <c:pt idx="2">
                  <c:v>69.754363402734256</c:v>
                </c:pt>
                <c:pt idx="3">
                  <c:v>121.28157788084839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4-46DD-A41A-E524F6F1A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8629512"/>
        <c:axId val="478631808"/>
      </c:barChart>
      <c:catAx>
        <c:axId val="47862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8631808"/>
        <c:crosses val="autoZero"/>
        <c:auto val="1"/>
        <c:lblAlgn val="ctr"/>
        <c:lblOffset val="100"/>
        <c:noMultiLvlLbl val="0"/>
      </c:catAx>
      <c:valAx>
        <c:axId val="47863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 loss (gain if negative)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86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225425</xdr:colOff>
      <xdr:row>0</xdr:row>
      <xdr:rowOff>0</xdr:rowOff>
    </xdr:from>
    <xdr:to>
      <xdr:col>15</xdr:col>
      <xdr:colOff>539750</xdr:colOff>
      <xdr:row>16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2BC975-8E93-4416-AD16-B8B7B6C6F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21</xdr:row>
      <xdr:rowOff>104775</xdr:rowOff>
    </xdr:from>
    <xdr:to>
      <xdr:col>15</xdr:col>
      <xdr:colOff>549275</xdr:colOff>
      <xdr:row>39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92F7BA-A4F6-45DA-BE73-31CB17BD0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165100</xdr:colOff>
      <xdr:row>25</xdr:row>
      <xdr:rowOff>3175</xdr:rowOff>
    </xdr:from>
    <xdr:to>
      <xdr:col>16</xdr:col>
      <xdr:colOff>15875</xdr:colOff>
      <xdr:row>42</xdr:row>
      <xdr:rowOff>146050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41DE42-AC13-4ADB-BD5E-60657BC3E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136525</xdr:colOff>
      <xdr:row>8</xdr:row>
      <xdr:rowOff>79375</xdr:rowOff>
    </xdr:from>
    <xdr:to>
      <xdr:col>22</xdr:col>
      <xdr:colOff>241300</xdr:colOff>
      <xdr:row>27</xdr:row>
      <xdr:rowOff>92075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D7E04FF-337E-4991-BD1E-F37FD5DB1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</xdr:colOff>
      <xdr:row>39</xdr:row>
      <xdr:rowOff>85725</xdr:rowOff>
    </xdr:from>
    <xdr:to>
      <xdr:col>16</xdr:col>
      <xdr:colOff>561975</xdr:colOff>
      <xdr:row>58</xdr:row>
      <xdr:rowOff>133350</xdr:rowOff>
    </xdr:to>
    <xdr:graphicFrame macro="">
      <xdr:nvGraphicFramePr>
        <xdr:cNvPr id="6" name="Diagramm 7">
          <a:extLst>
            <a:ext uri="{FF2B5EF4-FFF2-40B4-BE49-F238E27FC236}">
              <a16:creationId xmlns:a16="http://schemas.microsoft.com/office/drawing/2014/main" id="{FE3C75AF-07A6-4F2B-8CE6-CFD59F751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241300</xdr:colOff>
      <xdr:row>56</xdr:row>
      <xdr:rowOff>47626</xdr:rowOff>
    </xdr:from>
    <xdr:to>
      <xdr:col>16</xdr:col>
      <xdr:colOff>523875</xdr:colOff>
      <xdr:row>73</xdr:row>
      <xdr:rowOff>9526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8F3CB3E-BE34-4A14-965C-88EAFFCC6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158750</xdr:colOff>
      <xdr:row>22</xdr:row>
      <xdr:rowOff>0</xdr:rowOff>
    </xdr:from>
    <xdr:to>
      <xdr:col>15</xdr:col>
      <xdr:colOff>492125</xdr:colOff>
      <xdr:row>45</xdr:row>
      <xdr:rowOff>76200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98DE6F2-EEAB-4EE4-BE7D-FD5877540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177800</xdr:colOff>
      <xdr:row>39</xdr:row>
      <xdr:rowOff>127000</xdr:rowOff>
    </xdr:from>
    <xdr:to>
      <xdr:col>15</xdr:col>
      <xdr:colOff>511175</xdr:colOff>
      <xdr:row>63</xdr:row>
      <xdr:rowOff>50800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BA0BBCE-49A6-46EB-AA35-7BBCE80AAE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257175</xdr:colOff>
      <xdr:row>68</xdr:row>
      <xdr:rowOff>85725</xdr:rowOff>
    </xdr:from>
    <xdr:to>
      <xdr:col>16</xdr:col>
      <xdr:colOff>180975</xdr:colOff>
      <xdr:row>85</xdr:row>
      <xdr:rowOff>12700</xdr:rowOff>
    </xdr:to>
    <xdr:graphicFrame macro="">
      <xdr:nvGraphicFramePr>
        <xdr:cNvPr id="4" name="Diagramm 7">
          <a:extLst>
            <a:ext uri="{FF2B5EF4-FFF2-40B4-BE49-F238E27FC236}">
              <a16:creationId xmlns:a16="http://schemas.microsoft.com/office/drawing/2014/main" id="{B7A0F49E-B6C6-4D6E-8F64-30BF9039A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25400</xdr:colOff>
      <xdr:row>45</xdr:row>
      <xdr:rowOff>127001</xdr:rowOff>
    </xdr:from>
    <xdr:to>
      <xdr:col>15</xdr:col>
      <xdr:colOff>336550</xdr:colOff>
      <xdr:row>66</xdr:row>
      <xdr:rowOff>120651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BE81AC4-340F-4C5D-8862-47CA6C820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323850</xdr:colOff>
      <xdr:row>1</xdr:row>
      <xdr:rowOff>101600</xdr:rowOff>
    </xdr:from>
    <xdr:to>
      <xdr:col>16</xdr:col>
      <xdr:colOff>104775</xdr:colOff>
      <xdr:row>21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71BC22-B703-4639-A59B-3EC042598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69850</xdr:colOff>
      <xdr:row>0</xdr:row>
      <xdr:rowOff>101600</xdr:rowOff>
    </xdr:from>
    <xdr:to>
      <xdr:col>15</xdr:col>
      <xdr:colOff>460375</xdr:colOff>
      <xdr:row>20</xdr:row>
      <xdr:rowOff>69850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2936723-CC6A-44C5-A26C-95D29004E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279400</xdr:colOff>
      <xdr:row>31</xdr:row>
      <xdr:rowOff>0</xdr:rowOff>
    </xdr:from>
    <xdr:to>
      <xdr:col>15</xdr:col>
      <xdr:colOff>561975</xdr:colOff>
      <xdr:row>52</xdr:row>
      <xdr:rowOff>44450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8C6ACF1-BACB-4F56-A94D-BFD84CC6E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549275</xdr:colOff>
      <xdr:row>26</xdr:row>
      <xdr:rowOff>50800</xdr:rowOff>
    </xdr:from>
    <xdr:to>
      <xdr:col>16</xdr:col>
      <xdr:colOff>244475</xdr:colOff>
      <xdr:row>47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C15F07-E227-426A-BF18-C6214FAF7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234950</xdr:colOff>
      <xdr:row>50</xdr:row>
      <xdr:rowOff>19050</xdr:rowOff>
    </xdr:from>
    <xdr:to>
      <xdr:col>15</xdr:col>
      <xdr:colOff>546100</xdr:colOff>
      <xdr:row>73</xdr:row>
      <xdr:rowOff>34925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568688-0CC5-4628-9313-30F9C1A94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241300</xdr:colOff>
      <xdr:row>73</xdr:row>
      <xdr:rowOff>63500</xdr:rowOff>
    </xdr:from>
    <xdr:to>
      <xdr:col>17</xdr:col>
      <xdr:colOff>85725</xdr:colOff>
      <xdr:row>88</xdr:row>
      <xdr:rowOff>184150</xdr:rowOff>
    </xdr:to>
    <xdr:graphicFrame macro="">
      <xdr:nvGraphicFramePr>
        <xdr:cNvPr id="5" name="Diagramm 7">
          <a:extLst>
            <a:ext uri="{FF2B5EF4-FFF2-40B4-BE49-F238E27FC236}">
              <a16:creationId xmlns:a16="http://schemas.microsoft.com/office/drawing/2014/main" id="{CBFA3420-F9F7-43C9-B7CE-799B88A3E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266700</xdr:colOff>
      <xdr:row>0</xdr:row>
      <xdr:rowOff>12700</xdr:rowOff>
    </xdr:from>
    <xdr:to>
      <xdr:col>16</xdr:col>
      <xdr:colOff>47625</xdr:colOff>
      <xdr:row>19</xdr:row>
      <xdr:rowOff>101600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E8BE54B-41C1-4663-9145-4E3AED289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460374</xdr:colOff>
      <xdr:row>3</xdr:row>
      <xdr:rowOff>104775</xdr:rowOff>
    </xdr:from>
    <xdr:to>
      <xdr:col>21</xdr:col>
      <xdr:colOff>273049</xdr:colOff>
      <xdr:row>23</xdr:row>
      <xdr:rowOff>60325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D78E455-0515-48DB-AEF5-203E930CB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88900</xdr:colOff>
      <xdr:row>21</xdr:row>
      <xdr:rowOff>69850</xdr:rowOff>
    </xdr:from>
    <xdr:to>
      <xdr:col>14</xdr:col>
      <xdr:colOff>215900</xdr:colOff>
      <xdr:row>41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FF9B2F-9F22-4EBA-B64C-BB47FC1FA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101600</xdr:colOff>
      <xdr:row>41</xdr:row>
      <xdr:rowOff>146050</xdr:rowOff>
    </xdr:from>
    <xdr:to>
      <xdr:col>15</xdr:col>
      <xdr:colOff>228600</xdr:colOff>
      <xdr:row>65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70E9A2-2E75-4964-A2A5-F738A57C8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190500</xdr:colOff>
      <xdr:row>47</xdr:row>
      <xdr:rowOff>57150</xdr:rowOff>
    </xdr:from>
    <xdr:to>
      <xdr:col>14</xdr:col>
      <xdr:colOff>431800</xdr:colOff>
      <xdr:row>65</xdr:row>
      <xdr:rowOff>82550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42F1DB-41E4-4C4B-AD79-170BCC8DF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473075</xdr:colOff>
      <xdr:row>43</xdr:row>
      <xdr:rowOff>92075</xdr:rowOff>
    </xdr:from>
    <xdr:to>
      <xdr:col>15</xdr:col>
      <xdr:colOff>396875</xdr:colOff>
      <xdr:row>61</xdr:row>
      <xdr:rowOff>101600</xdr:rowOff>
    </xdr:to>
    <xdr:graphicFrame macro="">
      <xdr:nvGraphicFramePr>
        <xdr:cNvPr id="5" name="Diagramm 2">
          <a:extLst>
            <a:ext uri="{FF2B5EF4-FFF2-40B4-BE49-F238E27FC236}">
              <a16:creationId xmlns:a16="http://schemas.microsoft.com/office/drawing/2014/main" id="{A8E91E65-7424-4F54-9B6D-1198BC7FD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298450</xdr:colOff>
      <xdr:row>12</xdr:row>
      <xdr:rowOff>19050</xdr:rowOff>
    </xdr:from>
    <xdr:to>
      <xdr:col>14</xdr:col>
      <xdr:colOff>434975</xdr:colOff>
      <xdr:row>31</xdr:row>
      <xdr:rowOff>101600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94AA1C6-C8B3-45F1-A68F-425AB0AB4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184150</xdr:colOff>
      <xdr:row>1</xdr:row>
      <xdr:rowOff>66675</xdr:rowOff>
    </xdr:from>
    <xdr:to>
      <xdr:col>21</xdr:col>
      <xdr:colOff>320675</xdr:colOff>
      <xdr:row>21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31E3E21-D271-457E-988B-97A2B3976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615950</xdr:colOff>
      <xdr:row>25</xdr:row>
      <xdr:rowOff>38100</xdr:rowOff>
    </xdr:from>
    <xdr:to>
      <xdr:col>14</xdr:col>
      <xdr:colOff>101600</xdr:colOff>
      <xdr:row>47</xdr:row>
      <xdr:rowOff>69850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0AB1AC0-C762-4DB5-98A5-85846A0F5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101600</xdr:colOff>
      <xdr:row>53</xdr:row>
      <xdr:rowOff>31750</xdr:rowOff>
    </xdr:from>
    <xdr:to>
      <xdr:col>14</xdr:col>
      <xdr:colOff>342900</xdr:colOff>
      <xdr:row>73</xdr:row>
      <xdr:rowOff>88900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E579F7F-182C-46D9-B35A-8DCA904E5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101600</xdr:colOff>
      <xdr:row>22</xdr:row>
      <xdr:rowOff>12700</xdr:rowOff>
    </xdr:from>
    <xdr:to>
      <xdr:col>14</xdr:col>
      <xdr:colOff>228600</xdr:colOff>
      <xdr:row>44</xdr:row>
      <xdr:rowOff>44450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AC5E0C8-081B-4C7F-BF16-04334A23F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457200</xdr:colOff>
      <xdr:row>2</xdr:row>
      <xdr:rowOff>63500</xdr:rowOff>
    </xdr:from>
    <xdr:to>
      <xdr:col>14</xdr:col>
      <xdr:colOff>593725</xdr:colOff>
      <xdr:row>22</xdr:row>
      <xdr:rowOff>44450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8BADC49-715B-449C-AFA0-DFB1E793D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400050</xdr:colOff>
      <xdr:row>47</xdr:row>
      <xdr:rowOff>120650</xdr:rowOff>
    </xdr:from>
    <xdr:to>
      <xdr:col>15</xdr:col>
      <xdr:colOff>323850</xdr:colOff>
      <xdr:row>68</xdr:row>
      <xdr:rowOff>114300</xdr:rowOff>
    </xdr:to>
    <xdr:graphicFrame macro="">
      <xdr:nvGraphicFramePr>
        <xdr:cNvPr id="12" name="Diagramm 7">
          <a:extLst>
            <a:ext uri="{FF2B5EF4-FFF2-40B4-BE49-F238E27FC236}">
              <a16:creationId xmlns:a16="http://schemas.microsoft.com/office/drawing/2014/main" id="{5D05F667-EEE1-4BE4-A4CE-8127B7C9C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98425</xdr:colOff>
      <xdr:row>0</xdr:row>
      <xdr:rowOff>438150</xdr:rowOff>
    </xdr:from>
    <xdr:to>
      <xdr:col>20</xdr:col>
      <xdr:colOff>234950</xdr:colOff>
      <xdr:row>19</xdr:row>
      <xdr:rowOff>95250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F7D8F8A-48C8-4714-A676-C641E462D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130175</xdr:colOff>
      <xdr:row>0</xdr:row>
      <xdr:rowOff>130175</xdr:rowOff>
    </xdr:from>
    <xdr:to>
      <xdr:col>14</xdr:col>
      <xdr:colOff>266700</xdr:colOff>
      <xdr:row>19</xdr:row>
      <xdr:rowOff>98425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2D3C8F1-2054-40F1-9BE8-F456484DC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282575</xdr:colOff>
      <xdr:row>12</xdr:row>
      <xdr:rowOff>15875</xdr:rowOff>
    </xdr:from>
    <xdr:to>
      <xdr:col>14</xdr:col>
      <xdr:colOff>419100</xdr:colOff>
      <xdr:row>33</xdr:row>
      <xdr:rowOff>22225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F5BB0516-922D-47F5-B35A-474E0E907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419100</xdr:colOff>
      <xdr:row>1</xdr:row>
      <xdr:rowOff>9525</xdr:rowOff>
    </xdr:from>
    <xdr:to>
      <xdr:col>19</xdr:col>
      <xdr:colOff>555625</xdr:colOff>
      <xdr:row>20</xdr:row>
      <xdr:rowOff>6350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CEE83201-2AC1-4EB2-9BEE-981B65C68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20</xdr:row>
      <xdr:rowOff>0</xdr:rowOff>
    </xdr:from>
    <xdr:to>
      <xdr:col>22</xdr:col>
      <xdr:colOff>107950</xdr:colOff>
      <xdr:row>41</xdr:row>
      <xdr:rowOff>28575</xdr:rowOff>
    </xdr:to>
    <xdr:graphicFrame macro="">
      <xdr:nvGraphicFramePr>
        <xdr:cNvPr id="11" name="Chart 2">
          <a:extLst>
            <a:ext uri="{FF2B5EF4-FFF2-40B4-BE49-F238E27FC236}">
              <a16:creationId xmlns:a16="http://schemas.microsoft.com/office/drawing/2014/main" id="{A8394965-CCC3-4DBF-9F5D-1E942F79C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42</xdr:row>
      <xdr:rowOff>0</xdr:rowOff>
    </xdr:from>
    <xdr:to>
      <xdr:col>15</xdr:col>
      <xdr:colOff>212725</xdr:colOff>
      <xdr:row>64</xdr:row>
      <xdr:rowOff>57150</xdr:rowOff>
    </xdr:to>
    <xdr:graphicFrame macro="">
      <xdr:nvGraphicFramePr>
        <xdr:cNvPr id="12" name="Chart 3">
          <a:extLst>
            <a:ext uri="{FF2B5EF4-FFF2-40B4-BE49-F238E27FC236}">
              <a16:creationId xmlns:a16="http://schemas.microsoft.com/office/drawing/2014/main" id="{1BF990AB-E390-4F6F-9E4F-3E4801940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298450</xdr:colOff>
      <xdr:row>45</xdr:row>
      <xdr:rowOff>57150</xdr:rowOff>
    </xdr:from>
    <xdr:to>
      <xdr:col>13</xdr:col>
      <xdr:colOff>222250</xdr:colOff>
      <xdr:row>67</xdr:row>
      <xdr:rowOff>38100</xdr:rowOff>
    </xdr:to>
    <xdr:graphicFrame macro="">
      <xdr:nvGraphicFramePr>
        <xdr:cNvPr id="13" name="Diagramm 6">
          <a:extLst>
            <a:ext uri="{FF2B5EF4-FFF2-40B4-BE49-F238E27FC236}">
              <a16:creationId xmlns:a16="http://schemas.microsoft.com/office/drawing/2014/main" id="{81E2A975-860A-41A7-897A-B12E96D20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180-INVESTProj-21July2023\Database%20Empirical%20work21July2023\MyPaperPrebound&amp;CBA-ALL-21July2023\CBA%20Apartments-Recalculated-20July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180-INVESTProj-21July2023\Database%20Empirical%20work21July2023\MyPaperPrebound&amp;CBA-ALL-21July2023\CBA%20Houses-Recalculated-11July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80-INVESTProj07bNov2023/Database%20Empirical%20work7bNov2023/MyPaperPrebound&amp;CBA-ALL-7bNov2023/CBA%20Apartments-Recalculated-20July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sburgMFH57"/>
      <sheetName val="StvyAnalMFH57"/>
      <sheetName val="AugsburgGMFH78"/>
      <sheetName val="AugsbGMFH68"/>
      <sheetName val="CostsPer m2"/>
      <sheetName val="CO2"/>
    </sheetNames>
    <sheetDataSet>
      <sheetData sheetId="0">
        <row r="5">
          <cell r="E5" t="str">
            <v>EH-140</v>
          </cell>
          <cell r="F5" t="str">
            <v>EH-100</v>
          </cell>
          <cell r="G5" t="str">
            <v xml:space="preserve">EH-70 </v>
          </cell>
          <cell r="H5" t="str">
            <v xml:space="preserve">EH-55 </v>
          </cell>
        </row>
        <row r="23">
          <cell r="E23">
            <v>14643</v>
          </cell>
          <cell r="F23">
            <v>-43236</v>
          </cell>
          <cell r="G23">
            <v>-13337</v>
          </cell>
          <cell r="H23">
            <v>-29990</v>
          </cell>
        </row>
        <row r="24">
          <cell r="F24">
            <v>9.1999999999999998E-2</v>
          </cell>
          <cell r="G24">
            <v>6.9000000000000006E-2</v>
          </cell>
          <cell r="H24">
            <v>7.9000000000000001E-2</v>
          </cell>
        </row>
        <row r="30">
          <cell r="E30">
            <v>-10207</v>
          </cell>
          <cell r="F30">
            <v>-66893</v>
          </cell>
          <cell r="G30">
            <v>-42161</v>
          </cell>
          <cell r="H30">
            <v>-53646</v>
          </cell>
        </row>
        <row r="31">
          <cell r="E31">
            <v>7.2999999999999995E-2</v>
          </cell>
          <cell r="F31">
            <v>0.113</v>
          </cell>
          <cell r="G31">
            <v>9.6000000000000002E-2</v>
          </cell>
          <cell r="H31">
            <v>0.10299999999999999</v>
          </cell>
        </row>
        <row r="35">
          <cell r="F35">
            <v>54.715977426218885</v>
          </cell>
          <cell r="G35">
            <v>216.12056684411786</v>
          </cell>
          <cell r="H35">
            <v>78.879626542180731</v>
          </cell>
        </row>
        <row r="46">
          <cell r="E46">
            <v>-13381</v>
          </cell>
          <cell r="F46">
            <v>-104702</v>
          </cell>
          <cell r="G46">
            <v>-66992</v>
          </cell>
          <cell r="H46">
            <v>-92159</v>
          </cell>
        </row>
        <row r="47">
          <cell r="E47">
            <v>0.106</v>
          </cell>
          <cell r="F47">
            <v>0.193</v>
          </cell>
          <cell r="G47">
            <v>0.14599999999999999</v>
          </cell>
          <cell r="H47">
            <v>0.16800000000000001</v>
          </cell>
        </row>
        <row r="53">
          <cell r="E53">
            <v>-40063</v>
          </cell>
          <cell r="F53">
            <v>-133101</v>
          </cell>
          <cell r="G53">
            <v>-95072</v>
          </cell>
          <cell r="H53">
            <v>-121380</v>
          </cell>
        </row>
        <row r="54">
          <cell r="E54">
            <v>0.125</v>
          </cell>
          <cell r="F54">
            <v>0.27600000000000002</v>
          </cell>
          <cell r="G54">
            <v>0.19800000000000001</v>
          </cell>
          <cell r="H54">
            <v>0.22800000000000001</v>
          </cell>
        </row>
        <row r="58">
          <cell r="E58">
            <v>199.40213735894179</v>
          </cell>
          <cell r="F58">
            <v>27.123646157666521</v>
          </cell>
          <cell r="G58">
            <v>41.915452591354189</v>
          </cell>
          <cell r="H58">
            <v>31.707158280797316</v>
          </cell>
        </row>
        <row r="61">
          <cell r="E61">
            <v>13.704985865869146</v>
          </cell>
          <cell r="F61">
            <v>51.895873192105235</v>
          </cell>
          <cell r="G61">
            <v>37.089201877934272</v>
          </cell>
          <cell r="H61">
            <v>44.639864373940419</v>
          </cell>
        </row>
        <row r="62">
          <cell r="E62">
            <v>41.034701737135364</v>
          </cell>
          <cell r="F62">
            <v>65.971926207163179</v>
          </cell>
          <cell r="G62">
            <v>52.635308707591463</v>
          </cell>
          <cell r="H62">
            <v>58.79389682731896</v>
          </cell>
        </row>
      </sheetData>
      <sheetData sheetId="1" refreshError="1"/>
      <sheetData sheetId="2">
        <row r="2">
          <cell r="E2" t="str">
            <v>EH-140</v>
          </cell>
          <cell r="F2" t="str">
            <v>EH-100</v>
          </cell>
          <cell r="G2" t="str">
            <v xml:space="preserve">EH-70 </v>
          </cell>
          <cell r="H2" t="str">
            <v xml:space="preserve">EH-55 </v>
          </cell>
        </row>
        <row r="26">
          <cell r="E26">
            <v>55480</v>
          </cell>
          <cell r="F26">
            <v>-272986</v>
          </cell>
          <cell r="G26">
            <v>-403133</v>
          </cell>
          <cell r="H26">
            <v>-627425</v>
          </cell>
        </row>
        <row r="27">
          <cell r="E27">
            <v>5.1999999999999998E-2</v>
          </cell>
          <cell r="F27">
            <v>0.122</v>
          </cell>
          <cell r="G27">
            <v>0.13900000000000001</v>
          </cell>
          <cell r="H27">
            <v>0.16200000000000001</v>
          </cell>
        </row>
        <row r="34">
          <cell r="E34">
            <v>-76723</v>
          </cell>
          <cell r="F34">
            <v>-366143</v>
          </cell>
          <cell r="G34">
            <v>-498474</v>
          </cell>
          <cell r="H34">
            <v>-899270</v>
          </cell>
        </row>
        <row r="35">
          <cell r="E35">
            <v>9.6000000000000002E-2</v>
          </cell>
          <cell r="F35">
            <v>0.20599999999999999</v>
          </cell>
          <cell r="G35">
            <v>0.20200000000000001</v>
          </cell>
          <cell r="H35">
            <v>0.24</v>
          </cell>
        </row>
        <row r="40">
          <cell r="F40">
            <v>34.125193233352626</v>
          </cell>
          <cell r="G40">
            <v>23.650011286597724</v>
          </cell>
          <cell r="H40">
            <v>43.327090887357059</v>
          </cell>
        </row>
        <row r="52">
          <cell r="E52">
            <v>-58772</v>
          </cell>
          <cell r="F52">
            <v>-514642</v>
          </cell>
          <cell r="G52">
            <v>-712872</v>
          </cell>
          <cell r="H52">
            <v>-653599</v>
          </cell>
        </row>
        <row r="53">
          <cell r="E53">
            <v>0.115</v>
          </cell>
          <cell r="F53">
            <v>0.29699999999999999</v>
          </cell>
          <cell r="G53">
            <v>0.28000000000000003</v>
          </cell>
          <cell r="H53" t="str">
            <v>^^^^</v>
          </cell>
        </row>
        <row r="60">
          <cell r="E60">
            <v>-158532</v>
          </cell>
          <cell r="F60">
            <v>-607297</v>
          </cell>
          <cell r="G60">
            <v>-825422</v>
          </cell>
          <cell r="H60">
            <v>-896954</v>
          </cell>
        </row>
        <row r="61">
          <cell r="E61">
            <v>0.216</v>
          </cell>
          <cell r="F61">
            <v>0.4</v>
          </cell>
          <cell r="G61">
            <v>0.40899999999999997</v>
          </cell>
          <cell r="H61">
            <v>0.16</v>
          </cell>
        </row>
        <row r="66">
          <cell r="E66">
            <v>169.74069284693391</v>
          </cell>
          <cell r="F66">
            <v>18.003777383112922</v>
          </cell>
          <cell r="G66">
            <v>15.788248100640789</v>
          </cell>
          <cell r="H66">
            <v>37.233074102010562</v>
          </cell>
        </row>
        <row r="69">
          <cell r="E69">
            <v>20.828947601580637</v>
          </cell>
          <cell r="F69">
            <v>65.731816660748819</v>
          </cell>
          <cell r="G69">
            <v>66.438950467532734</v>
          </cell>
          <cell r="H69">
            <v>106.81205723017086</v>
          </cell>
        </row>
        <row r="70">
          <cell r="E70">
            <v>56.184147573228429</v>
          </cell>
          <cell r="F70">
            <v>77.566026602225975</v>
          </cell>
          <cell r="G70">
            <v>76.928496802808638</v>
          </cell>
          <cell r="H70">
            <v>146.58146964856229</v>
          </cell>
        </row>
      </sheetData>
      <sheetData sheetId="3">
        <row r="2">
          <cell r="E2" t="str">
            <v>EH-140</v>
          </cell>
          <cell r="F2" t="str">
            <v>EH-100</v>
          </cell>
          <cell r="G2" t="str">
            <v xml:space="preserve">EH-70 </v>
          </cell>
          <cell r="H2" t="str">
            <v xml:space="preserve">EH-55 </v>
          </cell>
        </row>
        <row r="27">
          <cell r="E27">
            <v>21226</v>
          </cell>
          <cell r="F27">
            <v>-167331</v>
          </cell>
          <cell r="G27">
            <v>-278176</v>
          </cell>
          <cell r="H27">
            <v>-529888</v>
          </cell>
        </row>
        <row r="28">
          <cell r="E28">
            <v>5.5E-2</v>
          </cell>
          <cell r="F28">
            <v>9.6000000000000002E-2</v>
          </cell>
          <cell r="G28">
            <v>0.09</v>
          </cell>
          <cell r="H28">
            <v>4.9000000000000002E-2</v>
          </cell>
        </row>
        <row r="35">
          <cell r="E35">
            <v>-65530</v>
          </cell>
          <cell r="F35">
            <v>-260847</v>
          </cell>
          <cell r="G35">
            <v>-374509</v>
          </cell>
          <cell r="H35">
            <v>-760017</v>
          </cell>
        </row>
        <row r="36">
          <cell r="E36">
            <v>8.6999999999999994E-2</v>
          </cell>
          <cell r="F36">
            <v>0.13600000000000001</v>
          </cell>
          <cell r="G36">
            <v>0.155</v>
          </cell>
          <cell r="H36">
            <v>6.0999999999999999E-2</v>
          </cell>
        </row>
        <row r="41">
          <cell r="F41">
            <v>55.886835075389499</v>
          </cell>
          <cell r="G41">
            <v>34.630234096399406</v>
          </cell>
          <cell r="H41">
            <v>43.429743643939851</v>
          </cell>
        </row>
        <row r="52">
          <cell r="E52">
            <v>-50670</v>
          </cell>
          <cell r="F52">
            <v>-350489</v>
          </cell>
          <cell r="G52">
            <v>-531507</v>
          </cell>
          <cell r="H52">
            <v>-591700</v>
          </cell>
        </row>
        <row r="53">
          <cell r="E53">
            <v>0.108</v>
          </cell>
          <cell r="F53">
            <v>0.19</v>
          </cell>
          <cell r="G53">
            <v>0.22600000000000001</v>
          </cell>
          <cell r="H53">
            <v>0.13200000000000001</v>
          </cell>
        </row>
        <row r="60">
          <cell r="E60">
            <v>-152309</v>
          </cell>
          <cell r="F60">
            <v>-460047</v>
          </cell>
          <cell r="G60">
            <v>-644365</v>
          </cell>
          <cell r="H60">
            <v>-807990</v>
          </cell>
        </row>
        <row r="61">
          <cell r="E61">
            <v>0.17499999999999999</v>
          </cell>
          <cell r="F61">
            <v>0.28199999999999997</v>
          </cell>
          <cell r="G61">
            <v>0.31900000000000001</v>
          </cell>
          <cell r="H61">
            <v>0.155</v>
          </cell>
        </row>
        <row r="66">
          <cell r="E66">
            <v>100</v>
          </cell>
          <cell r="F66">
            <v>31.258612966455441</v>
          </cell>
          <cell r="G66">
            <v>21.233586763673856</v>
          </cell>
          <cell r="H66">
            <v>36.55399695791786</v>
          </cell>
        </row>
        <row r="68">
          <cell r="E68">
            <v>15.444074285174359</v>
          </cell>
          <cell r="F68">
            <v>50.815759904309687</v>
          </cell>
          <cell r="G68">
            <v>57.537160505454324</v>
          </cell>
          <cell r="H68">
            <v>88.815838849611978</v>
          </cell>
        </row>
        <row r="69">
          <cell r="E69">
            <v>46.423357219274159</v>
          </cell>
          <cell r="F69">
            <v>66.700061618761097</v>
          </cell>
          <cell r="G69">
            <v>69.754363402734256</v>
          </cell>
          <cell r="H69">
            <v>121.28157788084839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usZFH48"/>
      <sheetName val="HausEFH68"/>
      <sheetName val="Sheet1"/>
      <sheetName val="HausEFH78"/>
    </sheetNames>
    <sheetDataSet>
      <sheetData sheetId="0">
        <row r="2">
          <cell r="E2" t="str">
            <v>EH-85</v>
          </cell>
          <cell r="F2" t="str">
            <v>EH-70</v>
          </cell>
          <cell r="G2" t="str">
            <v>EH-55</v>
          </cell>
        </row>
        <row r="25">
          <cell r="E25">
            <v>-25163</v>
          </cell>
          <cell r="F25">
            <v>-26644</v>
          </cell>
          <cell r="G25">
            <v>-43800</v>
          </cell>
        </row>
        <row r="26">
          <cell r="E26">
            <v>8.5999999999999993E-2</v>
          </cell>
          <cell r="F26">
            <v>8.5999999999999993E-2</v>
          </cell>
          <cell r="G26">
            <v>0.10100000000000001</v>
          </cell>
        </row>
        <row r="32">
          <cell r="E32">
            <v>-51098</v>
          </cell>
          <cell r="F32">
            <v>-52871</v>
          </cell>
          <cell r="G32">
            <v>-70085</v>
          </cell>
        </row>
        <row r="33">
          <cell r="E33">
            <v>0.151</v>
          </cell>
          <cell r="F33">
            <v>0.14799999999999999</v>
          </cell>
          <cell r="G33">
            <v>0.17</v>
          </cell>
        </row>
        <row r="37">
          <cell r="E37">
            <v>103.06799666176529</v>
          </cell>
          <cell r="F37">
            <v>98.434919681729468</v>
          </cell>
          <cell r="G37">
            <v>60.011415525114153</v>
          </cell>
        </row>
        <row r="48">
          <cell r="E48">
            <v>-50878</v>
          </cell>
          <cell r="F48">
            <v>-53581</v>
          </cell>
          <cell r="G48">
            <v>-78045</v>
          </cell>
        </row>
        <row r="49">
          <cell r="E49">
            <v>0.159</v>
          </cell>
          <cell r="F49">
            <v>0.16</v>
          </cell>
          <cell r="G49">
            <v>0.187</v>
          </cell>
        </row>
        <row r="55">
          <cell r="E55">
            <v>-81264</v>
          </cell>
          <cell r="F55">
            <v>-84307</v>
          </cell>
          <cell r="G55">
            <v>-108839</v>
          </cell>
        </row>
        <row r="56">
          <cell r="E56">
            <v>0.28399999999999997</v>
          </cell>
          <cell r="F56">
            <v>0.27900000000000003</v>
          </cell>
          <cell r="G56">
            <v>0.32200000000000001</v>
          </cell>
        </row>
        <row r="60">
          <cell r="E60">
            <v>59.723259562089702</v>
          </cell>
          <cell r="F60">
            <v>57.344954368152891</v>
          </cell>
          <cell r="G60">
            <v>39.456723685053497</v>
          </cell>
        </row>
        <row r="63">
          <cell r="E63">
            <v>41.880756978342646</v>
          </cell>
          <cell r="F63">
            <v>42.276980858148306</v>
          </cell>
          <cell r="G63">
            <v>50.759655033364979</v>
          </cell>
        </row>
        <row r="64">
          <cell r="E64">
            <v>66.893310175086228</v>
          </cell>
          <cell r="F64">
            <v>66.520696239486185</v>
          </cell>
          <cell r="G64">
            <v>70.787751863366154</v>
          </cell>
        </row>
      </sheetData>
      <sheetData sheetId="1">
        <row r="3">
          <cell r="E3" t="str">
            <v>EH-85</v>
          </cell>
          <cell r="F3" t="str">
            <v>EH-70</v>
          </cell>
          <cell r="G3" t="str">
            <v>EH-55</v>
          </cell>
        </row>
        <row r="25">
          <cell r="E25">
            <v>-22697</v>
          </cell>
          <cell r="F25">
            <v>-26825</v>
          </cell>
          <cell r="G25">
            <v>-31973</v>
          </cell>
        </row>
        <row r="26">
          <cell r="E26">
            <v>0.124</v>
          </cell>
          <cell r="F26">
            <v>0.13200000000000001</v>
          </cell>
          <cell r="G26">
            <v>0.14199999999999999</v>
          </cell>
        </row>
        <row r="32">
          <cell r="E32">
            <v>-32247</v>
          </cell>
          <cell r="F32">
            <v>-36491</v>
          </cell>
          <cell r="G32">
            <v>-41663</v>
          </cell>
        </row>
        <row r="33">
          <cell r="E33">
            <v>0.219</v>
          </cell>
          <cell r="F33">
            <v>0.23</v>
          </cell>
          <cell r="G33">
            <v>0.24199999999999999</v>
          </cell>
        </row>
        <row r="37">
          <cell r="E37">
            <v>42.076045292329383</v>
          </cell>
          <cell r="F37">
            <v>36.033550792171482</v>
          </cell>
          <cell r="G37">
            <v>30.306821380539827</v>
          </cell>
        </row>
        <row r="47">
          <cell r="E47">
            <v>-38544</v>
          </cell>
          <cell r="F47">
            <v>-43950</v>
          </cell>
          <cell r="G47">
            <v>-51358</v>
          </cell>
        </row>
        <row r="48">
          <cell r="E48">
            <v>0.23499999999999999</v>
          </cell>
          <cell r="F48">
            <v>0.249</v>
          </cell>
          <cell r="G48">
            <v>0.26900000000000002</v>
          </cell>
        </row>
        <row r="54">
          <cell r="E54">
            <v>-49732</v>
          </cell>
          <cell r="F54">
            <v>-55273</v>
          </cell>
          <cell r="G54">
            <v>-62710</v>
          </cell>
        </row>
        <row r="55">
          <cell r="E55">
            <v>0.42499999999999999</v>
          </cell>
          <cell r="F55">
            <v>0.44</v>
          </cell>
          <cell r="G55">
            <v>0.46300000000000002</v>
          </cell>
        </row>
        <row r="59">
          <cell r="E59">
            <v>29.026567040265672</v>
          </cell>
          <cell r="F59">
            <v>25.763367463026164</v>
          </cell>
          <cell r="G59">
            <v>22.103664472915614</v>
          </cell>
        </row>
        <row r="62">
          <cell r="E62">
            <v>60.292829433112246</v>
          </cell>
          <cell r="F62">
            <v>62.469795605082865</v>
          </cell>
          <cell r="G62">
            <v>65.188363119415101</v>
          </cell>
        </row>
        <row r="63">
          <cell r="E63">
            <v>77.793767988987611</v>
          </cell>
          <cell r="F63">
            <v>78.564118600221732</v>
          </cell>
          <cell r="G63">
            <v>79.597380178716492</v>
          </cell>
        </row>
      </sheetData>
      <sheetData sheetId="2" refreshError="1"/>
      <sheetData sheetId="3">
        <row r="2">
          <cell r="E2" t="str">
            <v>EH-85</v>
          </cell>
          <cell r="F2" t="str">
            <v>EH-70</v>
          </cell>
          <cell r="G2" t="str">
            <v>EH-55</v>
          </cell>
        </row>
        <row r="23">
          <cell r="E23">
            <v>-33043</v>
          </cell>
          <cell r="F23">
            <v>-36511</v>
          </cell>
          <cell r="G23">
            <v>-46252</v>
          </cell>
        </row>
        <row r="24">
          <cell r="E24">
            <v>0.13200000000000001</v>
          </cell>
          <cell r="F24">
            <v>0.13600000000000001</v>
          </cell>
          <cell r="G24">
            <v>0.153</v>
          </cell>
        </row>
        <row r="30">
          <cell r="E30">
            <v>-45545</v>
          </cell>
          <cell r="F30">
            <v>-49179</v>
          </cell>
          <cell r="G30">
            <v>-58954</v>
          </cell>
        </row>
        <row r="31">
          <cell r="E31">
            <v>0.24099999999999999</v>
          </cell>
          <cell r="F31">
            <v>0.24299999999999999</v>
          </cell>
          <cell r="G31">
            <v>0.26400000000000001</v>
          </cell>
        </row>
        <row r="35">
          <cell r="E35">
            <v>27.449774947853772</v>
          </cell>
          <cell r="F35">
            <v>25.758962158644948</v>
          </cell>
          <cell r="G35">
            <v>21.545611832954506</v>
          </cell>
        </row>
        <row r="45">
          <cell r="E45">
            <v>-53795</v>
          </cell>
          <cell r="F45">
            <v>-58991</v>
          </cell>
          <cell r="G45">
            <v>-72991</v>
          </cell>
        </row>
        <row r="46">
          <cell r="E46">
            <v>0.249</v>
          </cell>
          <cell r="F46">
            <v>0.25700000000000001</v>
          </cell>
          <cell r="G46">
            <v>0.28799999999999998</v>
          </cell>
        </row>
        <row r="52">
          <cell r="E52">
            <v>-68443</v>
          </cell>
          <cell r="F52">
            <v>-73833</v>
          </cell>
          <cell r="G52">
            <v>-87872</v>
          </cell>
        </row>
        <row r="53">
          <cell r="E53">
            <v>0.46</v>
          </cell>
          <cell r="F53">
            <v>0.46200000000000002</v>
          </cell>
          <cell r="G53">
            <v>0.502</v>
          </cell>
        </row>
        <row r="57">
          <cell r="E57">
            <v>21.401750361614774</v>
          </cell>
          <cell r="F57">
            <v>20.102122357211545</v>
          </cell>
          <cell r="G57">
            <v>16.934859796067006</v>
          </cell>
        </row>
        <row r="60">
          <cell r="E60">
            <v>62.450661713489666</v>
          </cell>
          <cell r="F60">
            <v>63.573368393827053</v>
          </cell>
          <cell r="G60">
            <v>67.428175519630486</v>
          </cell>
        </row>
        <row r="61">
          <cell r="E61">
            <v>79.455537497097751</v>
          </cell>
          <cell r="F61">
            <v>79.568281748426585</v>
          </cell>
          <cell r="G61">
            <v>81.175057736720561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sburgMFH57"/>
      <sheetName val="StvyAnalMFH57"/>
      <sheetName val="AugsburgGMFH78"/>
      <sheetName val="AugsbGMFH68"/>
      <sheetName val="CostsPer m2"/>
      <sheetName val="CO2"/>
    </sheetNames>
    <sheetDataSet>
      <sheetData sheetId="0">
        <row r="23">
          <cell r="E23">
            <v>14643</v>
          </cell>
          <cell r="F23">
            <v>-43236</v>
          </cell>
          <cell r="G23">
            <v>-13337</v>
          </cell>
          <cell r="H23">
            <v>-29990</v>
          </cell>
        </row>
        <row r="24">
          <cell r="F24">
            <v>9.1999999999999998E-2</v>
          </cell>
          <cell r="G24">
            <v>6.9000000000000006E-2</v>
          </cell>
          <cell r="H24">
            <v>7.9000000000000001E-2</v>
          </cell>
        </row>
        <row r="30">
          <cell r="E30">
            <v>-10207</v>
          </cell>
          <cell r="F30">
            <v>-66893</v>
          </cell>
          <cell r="G30">
            <v>-42161</v>
          </cell>
          <cell r="H30">
            <v>-53646</v>
          </cell>
        </row>
        <row r="31">
          <cell r="E31">
            <v>7.2999999999999995E-2</v>
          </cell>
          <cell r="F31">
            <v>0.113</v>
          </cell>
          <cell r="G31">
            <v>9.6000000000000002E-2</v>
          </cell>
          <cell r="H31">
            <v>0.10299999999999999</v>
          </cell>
        </row>
        <row r="35">
          <cell r="F35">
            <v>54.715977426218885</v>
          </cell>
          <cell r="G35">
            <v>216.12056684411786</v>
          </cell>
          <cell r="H35">
            <v>78.879626542180731</v>
          </cell>
        </row>
        <row r="46">
          <cell r="E46">
            <v>-13381</v>
          </cell>
          <cell r="F46">
            <v>-104702</v>
          </cell>
          <cell r="G46">
            <v>-66992</v>
          </cell>
          <cell r="H46">
            <v>-92159</v>
          </cell>
        </row>
        <row r="47">
          <cell r="E47">
            <v>0.106</v>
          </cell>
          <cell r="F47">
            <v>0.193</v>
          </cell>
          <cell r="G47">
            <v>0.14599999999999999</v>
          </cell>
          <cell r="H47">
            <v>0.16800000000000001</v>
          </cell>
        </row>
        <row r="53">
          <cell r="E53">
            <v>-40063</v>
          </cell>
          <cell r="F53">
            <v>-133101</v>
          </cell>
          <cell r="G53">
            <v>-95072</v>
          </cell>
          <cell r="H53">
            <v>-121380</v>
          </cell>
        </row>
        <row r="54">
          <cell r="E54">
            <v>0.125</v>
          </cell>
          <cell r="F54">
            <v>0.27600000000000002</v>
          </cell>
          <cell r="G54">
            <v>0.19800000000000001</v>
          </cell>
          <cell r="H54">
            <v>0.22800000000000001</v>
          </cell>
        </row>
        <row r="58">
          <cell r="E58">
            <v>199.40213735894179</v>
          </cell>
          <cell r="F58">
            <v>27.123646157666521</v>
          </cell>
          <cell r="G58">
            <v>41.915452591354189</v>
          </cell>
          <cell r="H58">
            <v>31.707158280797316</v>
          </cell>
        </row>
        <row r="61">
          <cell r="E61">
            <v>13.704985865869146</v>
          </cell>
          <cell r="F61">
            <v>51.895873192105235</v>
          </cell>
          <cell r="G61">
            <v>37.089201877934272</v>
          </cell>
          <cell r="H61">
            <v>44.639864373940419</v>
          </cell>
        </row>
        <row r="62">
          <cell r="E62">
            <v>41.034701737135364</v>
          </cell>
          <cell r="F62">
            <v>65.971926207163179</v>
          </cell>
          <cell r="G62">
            <v>52.635308707591463</v>
          </cell>
          <cell r="H62">
            <v>58.79389682731896</v>
          </cell>
        </row>
      </sheetData>
      <sheetData sheetId="1"/>
      <sheetData sheetId="2">
        <row r="26">
          <cell r="E26">
            <v>55480</v>
          </cell>
          <cell r="F26">
            <v>-272986</v>
          </cell>
          <cell r="G26">
            <v>-403133</v>
          </cell>
          <cell r="H26">
            <v>-627425</v>
          </cell>
        </row>
        <row r="27">
          <cell r="E27">
            <v>5.1999999999999998E-2</v>
          </cell>
          <cell r="F27">
            <v>0.122</v>
          </cell>
          <cell r="G27">
            <v>0.13900000000000001</v>
          </cell>
          <cell r="H27">
            <v>0.16200000000000001</v>
          </cell>
        </row>
        <row r="34">
          <cell r="E34">
            <v>-76723</v>
          </cell>
          <cell r="F34">
            <v>-366143</v>
          </cell>
          <cell r="G34">
            <v>-498474</v>
          </cell>
          <cell r="H34">
            <v>-899270</v>
          </cell>
        </row>
        <row r="35">
          <cell r="E35">
            <v>9.6000000000000002E-2</v>
          </cell>
          <cell r="F35">
            <v>0.20599999999999999</v>
          </cell>
          <cell r="G35">
            <v>0.20200000000000001</v>
          </cell>
          <cell r="H35">
            <v>0.24</v>
          </cell>
        </row>
        <row r="40">
          <cell r="F40">
            <v>34.125193233352626</v>
          </cell>
          <cell r="G40">
            <v>23.650011286597724</v>
          </cell>
          <cell r="H40">
            <v>43.327090887357059</v>
          </cell>
        </row>
        <row r="52">
          <cell r="E52">
            <v>-58772</v>
          </cell>
          <cell r="F52">
            <v>-514642</v>
          </cell>
          <cell r="G52">
            <v>-712872</v>
          </cell>
          <cell r="H52">
            <v>-653599</v>
          </cell>
        </row>
        <row r="53">
          <cell r="E53">
            <v>0.115</v>
          </cell>
          <cell r="F53">
            <v>0.29699999999999999</v>
          </cell>
          <cell r="G53">
            <v>0.28000000000000003</v>
          </cell>
          <cell r="H53" t="str">
            <v>^^^^</v>
          </cell>
        </row>
        <row r="60">
          <cell r="E60">
            <v>-158532</v>
          </cell>
          <cell r="F60">
            <v>-607297</v>
          </cell>
          <cell r="G60">
            <v>-825422</v>
          </cell>
          <cell r="H60">
            <v>-896954</v>
          </cell>
        </row>
        <row r="61">
          <cell r="E61">
            <v>0.216</v>
          </cell>
          <cell r="F61">
            <v>0.4</v>
          </cell>
          <cell r="G61">
            <v>0.40899999999999997</v>
          </cell>
          <cell r="H61">
            <v>0.16</v>
          </cell>
        </row>
        <row r="66">
          <cell r="E66">
            <v>169.74069284693391</v>
          </cell>
          <cell r="F66">
            <v>18.003777383112922</v>
          </cell>
          <cell r="G66">
            <v>15.788248100640789</v>
          </cell>
          <cell r="H66">
            <v>37.233074102010562</v>
          </cell>
        </row>
        <row r="69">
          <cell r="E69">
            <v>20.828947601580637</v>
          </cell>
          <cell r="F69">
            <v>65.731816660748819</v>
          </cell>
          <cell r="G69">
            <v>66.438950467532734</v>
          </cell>
          <cell r="H69">
            <v>106.81205723017086</v>
          </cell>
        </row>
        <row r="70">
          <cell r="E70">
            <v>56.184147573228429</v>
          </cell>
          <cell r="F70">
            <v>77.566026602225975</v>
          </cell>
          <cell r="G70">
            <v>76.928496802808638</v>
          </cell>
          <cell r="H70">
            <v>146.58146964856229</v>
          </cell>
        </row>
      </sheetData>
      <sheetData sheetId="3">
        <row r="27">
          <cell r="E27">
            <v>21226</v>
          </cell>
          <cell r="F27">
            <v>-167331</v>
          </cell>
          <cell r="G27">
            <v>-278176</v>
          </cell>
          <cell r="H27">
            <v>-529888</v>
          </cell>
        </row>
        <row r="28">
          <cell r="E28">
            <v>5.5E-2</v>
          </cell>
          <cell r="F28">
            <v>9.6000000000000002E-2</v>
          </cell>
          <cell r="G28">
            <v>0.09</v>
          </cell>
          <cell r="H28">
            <v>4.9000000000000002E-2</v>
          </cell>
        </row>
        <row r="35">
          <cell r="E35">
            <v>-65530</v>
          </cell>
          <cell r="F35">
            <v>-260847</v>
          </cell>
          <cell r="G35">
            <v>-374509</v>
          </cell>
          <cell r="H35">
            <v>-760017</v>
          </cell>
        </row>
        <row r="36">
          <cell r="E36">
            <v>8.6999999999999994E-2</v>
          </cell>
          <cell r="F36">
            <v>0.13600000000000001</v>
          </cell>
          <cell r="G36">
            <v>0.155</v>
          </cell>
          <cell r="H36">
            <v>6.0999999999999999E-2</v>
          </cell>
        </row>
        <row r="41">
          <cell r="F41">
            <v>55.886835075389499</v>
          </cell>
          <cell r="G41">
            <v>34.630234096399406</v>
          </cell>
          <cell r="H41">
            <v>43.429743643939851</v>
          </cell>
        </row>
        <row r="52">
          <cell r="E52">
            <v>-50670</v>
          </cell>
          <cell r="F52">
            <v>-350489</v>
          </cell>
          <cell r="G52">
            <v>-531507</v>
          </cell>
          <cell r="H52">
            <v>-591700</v>
          </cell>
        </row>
        <row r="53">
          <cell r="E53">
            <v>0.108</v>
          </cell>
          <cell r="F53">
            <v>0.19</v>
          </cell>
          <cell r="G53">
            <v>0.22600000000000001</v>
          </cell>
          <cell r="H53">
            <v>0.13200000000000001</v>
          </cell>
        </row>
        <row r="60">
          <cell r="E60">
            <v>-152309</v>
          </cell>
          <cell r="F60">
            <v>-460047</v>
          </cell>
          <cell r="G60">
            <v>-644365</v>
          </cell>
          <cell r="H60">
            <v>-807990</v>
          </cell>
        </row>
        <row r="61">
          <cell r="E61">
            <v>0.17499999999999999</v>
          </cell>
          <cell r="F61">
            <v>0.28199999999999997</v>
          </cell>
          <cell r="G61">
            <v>0.31900000000000001</v>
          </cell>
          <cell r="H61">
            <v>0.155</v>
          </cell>
        </row>
        <row r="66">
          <cell r="E66">
            <v>100</v>
          </cell>
          <cell r="F66">
            <v>31.258612966455441</v>
          </cell>
          <cell r="G66">
            <v>21.233586763673856</v>
          </cell>
          <cell r="H66">
            <v>36.55399695791786</v>
          </cell>
        </row>
        <row r="68">
          <cell r="E68">
            <v>15.444074285174359</v>
          </cell>
          <cell r="F68">
            <v>50.815759904309687</v>
          </cell>
          <cell r="G68">
            <v>57.537160505454324</v>
          </cell>
          <cell r="H68">
            <v>88.815838849611978</v>
          </cell>
        </row>
        <row r="69">
          <cell r="E69">
            <v>46.423357219274159</v>
          </cell>
          <cell r="F69">
            <v>66.700061618761097</v>
          </cell>
          <cell r="G69">
            <v>69.754363402734256</v>
          </cell>
          <cell r="H69">
            <v>121.28157788084839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90D49-0E42-47D4-844B-9BBED9FC259B}">
  <dimension ref="A1:H86"/>
  <sheetViews>
    <sheetView tabSelected="1" workbookViewId="0">
      <selection activeCell="B1" sqref="B1"/>
    </sheetView>
  </sheetViews>
  <sheetFormatPr baseColWidth="10" defaultColWidth="8.7109375" defaultRowHeight="12" x14ac:dyDescent="0.2"/>
  <cols>
    <col min="1" max="1" width="6.28515625" style="1" customWidth="1"/>
    <col min="2" max="2" width="48.85546875" style="1" customWidth="1"/>
    <col min="3" max="3" width="8.85546875" style="1" customWidth="1"/>
    <col min="4" max="4" width="7.85546875" style="1" customWidth="1"/>
    <col min="5" max="8" width="8.7109375" style="1"/>
    <col min="9" max="9" width="6.140625" style="1" customWidth="1"/>
    <col min="10" max="16384" width="8.7109375" style="1"/>
  </cols>
  <sheetData>
    <row r="1" spans="1:8" ht="15" x14ac:dyDescent="0.25">
      <c r="B1" s="2" t="s">
        <v>120</v>
      </c>
    </row>
    <row r="2" spans="1:8" ht="25.5" customHeight="1" x14ac:dyDescent="0.25">
      <c r="A2" s="3" t="s">
        <v>0</v>
      </c>
      <c r="B2" s="269" t="s">
        <v>1</v>
      </c>
      <c r="C2" s="270"/>
      <c r="D2" s="270"/>
      <c r="E2" s="270"/>
      <c r="F2" s="270"/>
      <c r="G2" s="270"/>
      <c r="H2" s="270"/>
    </row>
    <row r="3" spans="1:8" x14ac:dyDescent="0.2">
      <c r="B3" s="1" t="s">
        <v>2</v>
      </c>
      <c r="F3" s="1" t="s">
        <v>3</v>
      </c>
    </row>
    <row r="4" spans="1:8" ht="15.75" thickBot="1" x14ac:dyDescent="0.3">
      <c r="B4" s="4" t="s">
        <v>4</v>
      </c>
    </row>
    <row r="5" spans="1:8" ht="12.75" thickBot="1" x14ac:dyDescent="0.25">
      <c r="B5" s="5"/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7" t="s">
        <v>10</v>
      </c>
    </row>
    <row r="6" spans="1:8" x14ac:dyDescent="0.2">
      <c r="B6" s="8" t="s">
        <v>11</v>
      </c>
      <c r="C6" s="9" t="s">
        <v>12</v>
      </c>
      <c r="D6" s="9" t="s">
        <v>13</v>
      </c>
      <c r="E6" s="9" t="s">
        <v>13</v>
      </c>
      <c r="F6" s="9" t="s">
        <v>13</v>
      </c>
      <c r="G6" s="9" t="s">
        <v>14</v>
      </c>
      <c r="H6" s="10" t="s">
        <v>14</v>
      </c>
    </row>
    <row r="7" spans="1:8" ht="14.25" x14ac:dyDescent="0.2">
      <c r="B7" s="11" t="s">
        <v>15</v>
      </c>
      <c r="C7" s="12" t="s">
        <v>16</v>
      </c>
      <c r="D7" s="12">
        <v>353</v>
      </c>
      <c r="E7" s="12">
        <v>353</v>
      </c>
      <c r="F7" s="12">
        <v>353</v>
      </c>
      <c r="G7" s="12">
        <v>353</v>
      </c>
      <c r="H7" s="13">
        <v>353</v>
      </c>
    </row>
    <row r="8" spans="1:8" x14ac:dyDescent="0.2">
      <c r="B8" s="14" t="s">
        <v>17</v>
      </c>
      <c r="C8" s="15" t="s">
        <v>18</v>
      </c>
      <c r="D8" s="15">
        <v>1.47</v>
      </c>
      <c r="E8" s="15">
        <v>0.33</v>
      </c>
      <c r="F8" s="15">
        <v>0.25</v>
      </c>
      <c r="G8" s="15">
        <v>0.33</v>
      </c>
      <c r="H8" s="16">
        <v>0.27</v>
      </c>
    </row>
    <row r="9" spans="1:8" x14ac:dyDescent="0.2">
      <c r="B9" s="14" t="s">
        <v>19</v>
      </c>
      <c r="C9" s="15" t="s">
        <v>20</v>
      </c>
      <c r="D9" s="15">
        <v>262.7</v>
      </c>
      <c r="E9" s="15">
        <v>85.9</v>
      </c>
      <c r="F9" s="15">
        <v>57.9</v>
      </c>
      <c r="G9" s="15">
        <v>108</v>
      </c>
      <c r="H9" s="16">
        <v>100.3</v>
      </c>
    </row>
    <row r="10" spans="1:8" x14ac:dyDescent="0.2">
      <c r="B10" s="11" t="s">
        <v>21</v>
      </c>
      <c r="C10" s="12" t="s">
        <v>20</v>
      </c>
      <c r="D10" s="12">
        <v>290.8</v>
      </c>
      <c r="E10" s="12">
        <v>97.9</v>
      </c>
      <c r="F10" s="12">
        <v>68.599999999999994</v>
      </c>
      <c r="G10" s="12">
        <v>32.5</v>
      </c>
      <c r="H10" s="13">
        <v>30.9</v>
      </c>
    </row>
    <row r="11" spans="1:8" x14ac:dyDescent="0.2">
      <c r="B11" s="17" t="s">
        <v>22</v>
      </c>
      <c r="C11" s="18" t="s">
        <v>20</v>
      </c>
      <c r="D11" s="18">
        <f>0.8*D10</f>
        <v>232.64000000000001</v>
      </c>
      <c r="E11" s="18">
        <f>1.03*E10</f>
        <v>100.837</v>
      </c>
      <c r="F11" s="18">
        <f>1.1*F10</f>
        <v>75.459999999999994</v>
      </c>
      <c r="G11" s="18">
        <f>1.2*G10</f>
        <v>39</v>
      </c>
      <c r="H11" s="19">
        <f>1.3*H10</f>
        <v>40.17</v>
      </c>
    </row>
    <row r="12" spans="1:8" x14ac:dyDescent="0.2">
      <c r="B12" s="14" t="s">
        <v>23</v>
      </c>
      <c r="C12" s="15" t="s">
        <v>24</v>
      </c>
      <c r="D12" s="15">
        <v>67.400000000000006</v>
      </c>
      <c r="E12" s="15">
        <v>22.7</v>
      </c>
      <c r="F12" s="15">
        <v>16.5</v>
      </c>
      <c r="G12" s="15">
        <v>5.6</v>
      </c>
      <c r="H12" s="16">
        <v>5.4</v>
      </c>
    </row>
    <row r="13" spans="1:8" x14ac:dyDescent="0.2">
      <c r="B13" s="20"/>
      <c r="C13" s="15"/>
      <c r="D13" s="15"/>
      <c r="E13" s="15"/>
      <c r="F13" s="15"/>
      <c r="G13" s="15"/>
      <c r="H13" s="16"/>
    </row>
    <row r="14" spans="1:8" x14ac:dyDescent="0.2">
      <c r="B14" s="21" t="s">
        <v>25</v>
      </c>
      <c r="C14" s="15"/>
      <c r="D14" s="15"/>
      <c r="E14" s="15"/>
      <c r="F14" s="15"/>
      <c r="G14" s="15"/>
      <c r="H14" s="16"/>
    </row>
    <row r="15" spans="1:8" ht="14.25" x14ac:dyDescent="0.2">
      <c r="B15" s="22" t="s">
        <v>26</v>
      </c>
      <c r="C15" s="18" t="s">
        <v>27</v>
      </c>
      <c r="D15" s="18">
        <v>223</v>
      </c>
      <c r="E15" s="18">
        <v>405</v>
      </c>
      <c r="F15" s="18">
        <v>627</v>
      </c>
      <c r="G15" s="18">
        <v>582</v>
      </c>
      <c r="H15" s="19">
        <v>637</v>
      </c>
    </row>
    <row r="16" spans="1:8" x14ac:dyDescent="0.2">
      <c r="B16" s="22" t="s">
        <v>28</v>
      </c>
      <c r="C16" s="23" t="s">
        <v>29</v>
      </c>
      <c r="D16" s="23"/>
      <c r="E16" s="24">
        <f>E18-E17</f>
        <v>64246</v>
      </c>
      <c r="F16" s="24">
        <f t="shared" ref="F16:H16" si="0">F18-F17</f>
        <v>142612</v>
      </c>
      <c r="G16" s="24">
        <f t="shared" si="0"/>
        <v>126727</v>
      </c>
      <c r="H16" s="24">
        <f t="shared" si="0"/>
        <v>146142</v>
      </c>
    </row>
    <row r="17" spans="2:8" x14ac:dyDescent="0.2">
      <c r="B17" s="22" t="s">
        <v>30</v>
      </c>
      <c r="C17" s="23" t="s">
        <v>29</v>
      </c>
      <c r="D17" s="24">
        <f>$D15*D7</f>
        <v>78719</v>
      </c>
      <c r="E17" s="24">
        <f t="shared" ref="E17:H17" si="1">$D15*E7</f>
        <v>78719</v>
      </c>
      <c r="F17" s="24">
        <f t="shared" si="1"/>
        <v>78719</v>
      </c>
      <c r="G17" s="24">
        <f t="shared" si="1"/>
        <v>78719</v>
      </c>
      <c r="H17" s="24">
        <f t="shared" si="1"/>
        <v>78719</v>
      </c>
    </row>
    <row r="18" spans="2:8" x14ac:dyDescent="0.2">
      <c r="B18" s="22" t="s">
        <v>31</v>
      </c>
      <c r="C18" s="23" t="s">
        <v>29</v>
      </c>
      <c r="D18" s="23"/>
      <c r="E18" s="24">
        <f>E7*E15</f>
        <v>142965</v>
      </c>
      <c r="F18" s="24">
        <f t="shared" ref="F18:H18" si="2">F7*F15</f>
        <v>221331</v>
      </c>
      <c r="G18" s="24">
        <f t="shared" si="2"/>
        <v>205446</v>
      </c>
      <c r="H18" s="24">
        <f t="shared" si="2"/>
        <v>224861</v>
      </c>
    </row>
    <row r="19" spans="2:8" x14ac:dyDescent="0.2">
      <c r="B19" s="22" t="s">
        <v>32</v>
      </c>
      <c r="C19" s="18" t="s">
        <v>33</v>
      </c>
      <c r="D19" s="18">
        <v>0.06</v>
      </c>
      <c r="E19" s="18">
        <v>0.06</v>
      </c>
      <c r="F19" s="18">
        <v>0.06</v>
      </c>
      <c r="G19" s="18">
        <v>0.06</v>
      </c>
      <c r="H19" s="19">
        <v>0.06</v>
      </c>
    </row>
    <row r="20" spans="2:8" x14ac:dyDescent="0.2">
      <c r="B20" s="22"/>
      <c r="C20" s="23"/>
      <c r="D20" s="23"/>
      <c r="E20" s="24"/>
      <c r="F20" s="24"/>
      <c r="G20" s="24"/>
      <c r="H20" s="25"/>
    </row>
    <row r="21" spans="2:8" x14ac:dyDescent="0.2">
      <c r="B21" s="22" t="s">
        <v>34</v>
      </c>
      <c r="C21" s="23" t="s">
        <v>29</v>
      </c>
      <c r="D21" s="23"/>
      <c r="E21" s="24">
        <v>63818</v>
      </c>
      <c r="F21" s="24">
        <v>133616</v>
      </c>
      <c r="G21" s="24">
        <v>119503</v>
      </c>
      <c r="H21" s="25">
        <v>136752</v>
      </c>
    </row>
    <row r="22" spans="2:8" x14ac:dyDescent="0.2">
      <c r="B22" s="22" t="s">
        <v>35</v>
      </c>
      <c r="C22" s="23" t="s">
        <v>29</v>
      </c>
      <c r="D22" s="23"/>
      <c r="E22" s="24">
        <v>78461</v>
      </c>
      <c r="F22" s="24">
        <v>90380</v>
      </c>
      <c r="G22" s="24">
        <v>106166</v>
      </c>
      <c r="H22" s="25">
        <v>106762</v>
      </c>
    </row>
    <row r="23" spans="2:8" x14ac:dyDescent="0.2">
      <c r="B23" s="22" t="s">
        <v>36</v>
      </c>
      <c r="C23" s="23" t="s">
        <v>29</v>
      </c>
      <c r="D23" s="23"/>
      <c r="E23" s="24">
        <f>E22-E21</f>
        <v>14643</v>
      </c>
      <c r="F23" s="24">
        <f t="shared" ref="F23:H23" si="3">F22-F21</f>
        <v>-43236</v>
      </c>
      <c r="G23" s="24">
        <f t="shared" si="3"/>
        <v>-13337</v>
      </c>
      <c r="H23" s="24">
        <f t="shared" si="3"/>
        <v>-29990</v>
      </c>
    </row>
    <row r="24" spans="2:8" x14ac:dyDescent="0.2">
      <c r="B24" s="22" t="s">
        <v>37</v>
      </c>
      <c r="C24" s="23" t="s">
        <v>38</v>
      </c>
      <c r="D24" s="23"/>
      <c r="E24" s="26"/>
      <c r="F24" s="26">
        <v>9.1999999999999998E-2</v>
      </c>
      <c r="G24" s="26">
        <v>6.9000000000000006E-2</v>
      </c>
      <c r="H24" s="27">
        <v>7.9000000000000001E-2</v>
      </c>
    </row>
    <row r="25" spans="2:8" x14ac:dyDescent="0.2">
      <c r="B25" s="22" t="s">
        <v>39</v>
      </c>
      <c r="C25" s="23" t="s">
        <v>40</v>
      </c>
      <c r="D25" s="23"/>
      <c r="E25" s="28">
        <v>225</v>
      </c>
      <c r="F25" s="28">
        <v>607</v>
      </c>
      <c r="G25" s="28">
        <v>361</v>
      </c>
      <c r="H25" s="29">
        <v>451</v>
      </c>
    </row>
    <row r="26" spans="2:8" x14ac:dyDescent="0.2">
      <c r="B26" s="22" t="s">
        <v>41</v>
      </c>
      <c r="C26" s="23" t="s">
        <v>40</v>
      </c>
      <c r="D26" s="23"/>
      <c r="E26" s="28">
        <v>173</v>
      </c>
      <c r="F26" s="28">
        <v>334</v>
      </c>
      <c r="G26" s="28">
        <v>253</v>
      </c>
      <c r="H26" s="29">
        <v>290</v>
      </c>
    </row>
    <row r="27" spans="2:8" x14ac:dyDescent="0.2">
      <c r="B27" s="22"/>
      <c r="C27" s="23"/>
      <c r="D27" s="23"/>
      <c r="E27" s="24"/>
      <c r="F27" s="24"/>
      <c r="G27" s="24"/>
      <c r="H27" s="25"/>
    </row>
    <row r="28" spans="2:8" x14ac:dyDescent="0.2">
      <c r="B28" s="22" t="s">
        <v>42</v>
      </c>
      <c r="C28" s="23" t="s">
        <v>29</v>
      </c>
      <c r="D28" s="23"/>
      <c r="E28" s="24">
        <v>63818</v>
      </c>
      <c r="F28" s="24">
        <v>133616</v>
      </c>
      <c r="G28" s="24">
        <v>120942</v>
      </c>
      <c r="H28" s="25">
        <v>136752</v>
      </c>
    </row>
    <row r="29" spans="2:8" x14ac:dyDescent="0.2">
      <c r="B29" s="22" t="s">
        <v>43</v>
      </c>
      <c r="C29" s="23" t="s">
        <v>29</v>
      </c>
      <c r="D29" s="23"/>
      <c r="E29" s="24">
        <v>53611</v>
      </c>
      <c r="F29" s="24">
        <v>66723</v>
      </c>
      <c r="G29" s="24">
        <v>78781</v>
      </c>
      <c r="H29" s="25">
        <v>83106</v>
      </c>
    </row>
    <row r="30" spans="2:8" x14ac:dyDescent="0.2">
      <c r="B30" s="22" t="s">
        <v>44</v>
      </c>
      <c r="C30" s="23" t="s">
        <v>29</v>
      </c>
      <c r="D30" s="23"/>
      <c r="E30" s="24">
        <f>E29-E28</f>
        <v>-10207</v>
      </c>
      <c r="F30" s="24">
        <f t="shared" ref="F30:H30" si="4">F29-F28</f>
        <v>-66893</v>
      </c>
      <c r="G30" s="24">
        <f t="shared" si="4"/>
        <v>-42161</v>
      </c>
      <c r="H30" s="24">
        <f t="shared" si="4"/>
        <v>-53646</v>
      </c>
    </row>
    <row r="31" spans="2:8" x14ac:dyDescent="0.2">
      <c r="B31" s="22" t="s">
        <v>45</v>
      </c>
      <c r="C31" s="23" t="s">
        <v>38</v>
      </c>
      <c r="D31" s="23"/>
      <c r="E31" s="26">
        <v>7.2999999999999995E-2</v>
      </c>
      <c r="F31" s="26">
        <v>0.113</v>
      </c>
      <c r="G31" s="26">
        <v>9.6000000000000002E-2</v>
      </c>
      <c r="H31" s="27">
        <v>0.10299999999999999</v>
      </c>
    </row>
    <row r="32" spans="2:8" x14ac:dyDescent="0.2">
      <c r="B32" s="22" t="s">
        <v>39</v>
      </c>
      <c r="C32" s="23" t="s">
        <v>40</v>
      </c>
      <c r="D32" s="23"/>
      <c r="E32" s="28">
        <v>396</v>
      </c>
      <c r="F32" s="28" t="s">
        <v>46</v>
      </c>
      <c r="G32" s="28">
        <v>665</v>
      </c>
      <c r="H32" s="29">
        <v>812</v>
      </c>
    </row>
    <row r="33" spans="2:8" x14ac:dyDescent="0.2">
      <c r="B33" s="22" t="s">
        <v>41</v>
      </c>
      <c r="C33" s="23" t="s">
        <v>40</v>
      </c>
      <c r="D33" s="23"/>
      <c r="E33" s="28">
        <v>253</v>
      </c>
      <c r="F33" s="28">
        <v>452</v>
      </c>
      <c r="G33" s="28">
        <v>340</v>
      </c>
      <c r="H33" s="29">
        <v>372</v>
      </c>
    </row>
    <row r="34" spans="2:8" x14ac:dyDescent="0.2">
      <c r="B34" s="22"/>
      <c r="C34" s="23"/>
      <c r="D34" s="23"/>
      <c r="E34" s="26"/>
      <c r="F34" s="26"/>
      <c r="G34" s="26"/>
      <c r="H34" s="27"/>
    </row>
    <row r="35" spans="2:8" x14ac:dyDescent="0.2">
      <c r="B35" s="22" t="s">
        <v>47</v>
      </c>
      <c r="C35" s="23" t="s">
        <v>48</v>
      </c>
      <c r="D35" s="23"/>
      <c r="E35" s="30"/>
      <c r="F35" s="31">
        <f>(F30-F23)/F23*100</f>
        <v>54.715977426218885</v>
      </c>
      <c r="G35" s="31">
        <f t="shared" ref="G35:H35" si="5">(G30-G23)/G23*100</f>
        <v>216.12056684411786</v>
      </c>
      <c r="H35" s="31">
        <f t="shared" si="5"/>
        <v>78.879626542180731</v>
      </c>
    </row>
    <row r="36" spans="2:8" x14ac:dyDescent="0.2">
      <c r="B36" s="22"/>
      <c r="C36" s="23"/>
      <c r="D36" s="23"/>
      <c r="E36" s="30"/>
      <c r="F36" s="30"/>
      <c r="G36" s="30"/>
      <c r="H36" s="32"/>
    </row>
    <row r="37" spans="2:8" x14ac:dyDescent="0.2">
      <c r="B37" s="21" t="s">
        <v>49</v>
      </c>
      <c r="C37" s="23"/>
      <c r="D37" s="23"/>
      <c r="E37" s="24"/>
      <c r="F37" s="24"/>
      <c r="G37" s="24"/>
      <c r="H37" s="25"/>
    </row>
    <row r="38" spans="2:8" ht="15" x14ac:dyDescent="0.25">
      <c r="B38" s="33" t="s">
        <v>50</v>
      </c>
      <c r="C38" s="34" t="s">
        <v>51</v>
      </c>
      <c r="D38" s="35">
        <f>D15*1.43</f>
        <v>318.89</v>
      </c>
      <c r="E38" s="35">
        <f>E15*1.43</f>
        <v>579.15</v>
      </c>
      <c r="F38" s="35">
        <f t="shared" ref="F38:H38" si="6">F15*1.43</f>
        <v>896.61</v>
      </c>
      <c r="G38" s="35">
        <f t="shared" si="6"/>
        <v>832.26</v>
      </c>
      <c r="H38" s="35">
        <f t="shared" si="6"/>
        <v>910.91</v>
      </c>
    </row>
    <row r="39" spans="2:8" x14ac:dyDescent="0.2">
      <c r="B39" s="33" t="s">
        <v>52</v>
      </c>
      <c r="C39" s="36" t="s">
        <v>29</v>
      </c>
      <c r="D39" s="37">
        <f>D41-D40</f>
        <v>0</v>
      </c>
      <c r="E39" s="37">
        <f t="shared" ref="E39:H39" si="7">E41-E40</f>
        <v>91871.779999999984</v>
      </c>
      <c r="F39" s="37">
        <f t="shared" si="7"/>
        <v>203935.16000000003</v>
      </c>
      <c r="G39" s="37">
        <f t="shared" si="7"/>
        <v>181219.61</v>
      </c>
      <c r="H39" s="37">
        <f t="shared" si="7"/>
        <v>208983.06</v>
      </c>
    </row>
    <row r="40" spans="2:8" x14ac:dyDescent="0.2">
      <c r="B40" s="33" t="s">
        <v>53</v>
      </c>
      <c r="C40" s="36" t="s">
        <v>29</v>
      </c>
      <c r="D40" s="37">
        <f>$D38*D7</f>
        <v>112568.17</v>
      </c>
      <c r="E40" s="37">
        <f t="shared" ref="E40:H40" si="8">$D38*E7</f>
        <v>112568.17</v>
      </c>
      <c r="F40" s="37">
        <f t="shared" si="8"/>
        <v>112568.17</v>
      </c>
      <c r="G40" s="37">
        <f t="shared" si="8"/>
        <v>112568.17</v>
      </c>
      <c r="H40" s="37">
        <f t="shared" si="8"/>
        <v>112568.17</v>
      </c>
    </row>
    <row r="41" spans="2:8" x14ac:dyDescent="0.2">
      <c r="B41" s="33" t="s">
        <v>54</v>
      </c>
      <c r="C41" s="36" t="s">
        <v>29</v>
      </c>
      <c r="D41" s="37">
        <f>D38*D7</f>
        <v>112568.17</v>
      </c>
      <c r="E41" s="37">
        <f t="shared" ref="E41:H41" si="9">E38*E7</f>
        <v>204439.94999999998</v>
      </c>
      <c r="F41" s="37">
        <f t="shared" si="9"/>
        <v>316503.33</v>
      </c>
      <c r="G41" s="37">
        <f t="shared" si="9"/>
        <v>293787.77999999997</v>
      </c>
      <c r="H41" s="37">
        <f t="shared" si="9"/>
        <v>321551.23</v>
      </c>
    </row>
    <row r="42" spans="2:8" x14ac:dyDescent="0.2">
      <c r="B42" s="38" t="s">
        <v>55</v>
      </c>
      <c r="C42" s="39" t="s">
        <v>33</v>
      </c>
      <c r="D42" s="40">
        <v>0.09</v>
      </c>
      <c r="E42" s="40">
        <v>0.09</v>
      </c>
      <c r="F42" s="40">
        <v>0.09</v>
      </c>
      <c r="G42" s="40">
        <v>0.09</v>
      </c>
      <c r="H42" s="40">
        <v>0.09</v>
      </c>
    </row>
    <row r="43" spans="2:8" x14ac:dyDescent="0.2">
      <c r="B43" s="33"/>
      <c r="C43" s="36"/>
      <c r="D43" s="36"/>
      <c r="E43" s="41"/>
      <c r="F43" s="41"/>
      <c r="G43" s="41"/>
      <c r="H43" s="42"/>
    </row>
    <row r="44" spans="2:8" x14ac:dyDescent="0.2">
      <c r="B44" s="33" t="s">
        <v>56</v>
      </c>
      <c r="C44" s="36" t="s">
        <v>29</v>
      </c>
      <c r="D44" s="36"/>
      <c r="E44" s="41">
        <v>97636</v>
      </c>
      <c r="F44" s="41">
        <v>201754</v>
      </c>
      <c r="G44" s="41">
        <v>180624</v>
      </c>
      <c r="H44" s="42">
        <v>206450</v>
      </c>
    </row>
    <row r="45" spans="2:8" x14ac:dyDescent="0.2">
      <c r="B45" s="33" t="s">
        <v>57</v>
      </c>
      <c r="C45" s="36" t="s">
        <v>29</v>
      </c>
      <c r="D45" s="36"/>
      <c r="E45" s="41">
        <v>84255</v>
      </c>
      <c r="F45" s="41">
        <v>97052</v>
      </c>
      <c r="G45" s="41">
        <v>113632</v>
      </c>
      <c r="H45" s="42">
        <v>114291</v>
      </c>
    </row>
    <row r="46" spans="2:8" x14ac:dyDescent="0.2">
      <c r="B46" s="33" t="s">
        <v>58</v>
      </c>
      <c r="C46" s="36" t="s">
        <v>29</v>
      </c>
      <c r="D46" s="36"/>
      <c r="E46" s="41">
        <f>E45-E44</f>
        <v>-13381</v>
      </c>
      <c r="F46" s="41">
        <f t="shared" ref="F46:H46" si="10">F45-F44</f>
        <v>-104702</v>
      </c>
      <c r="G46" s="41">
        <f t="shared" si="10"/>
        <v>-66992</v>
      </c>
      <c r="H46" s="41">
        <f t="shared" si="10"/>
        <v>-92159</v>
      </c>
    </row>
    <row r="47" spans="2:8" x14ac:dyDescent="0.2">
      <c r="B47" s="33" t="s">
        <v>59</v>
      </c>
      <c r="C47" s="36" t="s">
        <v>38</v>
      </c>
      <c r="D47" s="36"/>
      <c r="E47" s="43">
        <v>0.106</v>
      </c>
      <c r="F47" s="43">
        <v>0.193</v>
      </c>
      <c r="G47" s="43">
        <v>0.14599999999999999</v>
      </c>
      <c r="H47" s="44">
        <v>0.16800000000000001</v>
      </c>
    </row>
    <row r="48" spans="2:8" x14ac:dyDescent="0.2">
      <c r="B48" s="22" t="s">
        <v>39</v>
      </c>
      <c r="C48" s="23" t="s">
        <v>40</v>
      </c>
      <c r="D48" s="23"/>
      <c r="E48" s="28">
        <v>462</v>
      </c>
      <c r="F48" s="28" t="s">
        <v>60</v>
      </c>
      <c r="G48" s="28" t="s">
        <v>60</v>
      </c>
      <c r="H48" s="29" t="s">
        <v>61</v>
      </c>
    </row>
    <row r="49" spans="2:8" x14ac:dyDescent="0.2">
      <c r="B49" s="22" t="s">
        <v>41</v>
      </c>
      <c r="C49" s="23" t="s">
        <v>40</v>
      </c>
      <c r="D49" s="23"/>
      <c r="E49" s="28">
        <v>170</v>
      </c>
      <c r="F49" s="28">
        <v>327</v>
      </c>
      <c r="G49" s="28">
        <v>249</v>
      </c>
      <c r="H49" s="29">
        <v>285</v>
      </c>
    </row>
    <row r="50" spans="2:8" x14ac:dyDescent="0.2">
      <c r="B50" s="22"/>
      <c r="C50" s="23"/>
      <c r="D50" s="23"/>
      <c r="E50" s="24"/>
      <c r="F50" s="24"/>
      <c r="G50" s="24"/>
      <c r="H50" s="25"/>
    </row>
    <row r="51" spans="2:8" x14ac:dyDescent="0.2">
      <c r="B51" s="45" t="s">
        <v>42</v>
      </c>
      <c r="C51" s="46" t="s">
        <v>29</v>
      </c>
      <c r="D51" s="46"/>
      <c r="E51" s="47">
        <v>97632</v>
      </c>
      <c r="F51" s="47">
        <v>201754</v>
      </c>
      <c r="G51" s="47">
        <v>180624</v>
      </c>
      <c r="H51" s="48">
        <v>206450</v>
      </c>
    </row>
    <row r="52" spans="2:8" x14ac:dyDescent="0.2">
      <c r="B52" s="45" t="s">
        <v>43</v>
      </c>
      <c r="C52" s="46" t="s">
        <v>29</v>
      </c>
      <c r="D52" s="46"/>
      <c r="E52" s="47">
        <v>57569</v>
      </c>
      <c r="F52" s="47">
        <v>68653</v>
      </c>
      <c r="G52" s="47">
        <v>85552</v>
      </c>
      <c r="H52" s="48">
        <v>85070</v>
      </c>
    </row>
    <row r="53" spans="2:8" x14ac:dyDescent="0.2">
      <c r="B53" s="45" t="s">
        <v>44</v>
      </c>
      <c r="C53" s="46" t="s">
        <v>29</v>
      </c>
      <c r="D53" s="46"/>
      <c r="E53" s="41">
        <f>E52-E51</f>
        <v>-40063</v>
      </c>
      <c r="F53" s="41">
        <f t="shared" ref="F53:H53" si="11">F52-F51</f>
        <v>-133101</v>
      </c>
      <c r="G53" s="41">
        <f t="shared" si="11"/>
        <v>-95072</v>
      </c>
      <c r="H53" s="41">
        <f t="shared" si="11"/>
        <v>-121380</v>
      </c>
    </row>
    <row r="54" spans="2:8" x14ac:dyDescent="0.2">
      <c r="B54" s="45" t="s">
        <v>45</v>
      </c>
      <c r="C54" s="46" t="s">
        <v>38</v>
      </c>
      <c r="D54" s="49"/>
      <c r="E54" s="49">
        <v>0.125</v>
      </c>
      <c r="F54" s="49">
        <v>0.27600000000000002</v>
      </c>
      <c r="G54" s="49">
        <v>0.19800000000000001</v>
      </c>
      <c r="H54" s="50">
        <v>0.22800000000000001</v>
      </c>
    </row>
    <row r="55" spans="2:8" x14ac:dyDescent="0.2">
      <c r="B55" s="22" t="s">
        <v>39</v>
      </c>
      <c r="C55" s="23" t="s">
        <v>40</v>
      </c>
      <c r="D55" s="49"/>
      <c r="E55" s="28" t="s">
        <v>61</v>
      </c>
      <c r="F55" s="28" t="s">
        <v>60</v>
      </c>
      <c r="G55" s="28" t="s">
        <v>60</v>
      </c>
      <c r="H55" s="29" t="s">
        <v>60</v>
      </c>
    </row>
    <row r="56" spans="2:8" x14ac:dyDescent="0.2">
      <c r="B56" s="22" t="s">
        <v>41</v>
      </c>
      <c r="C56" s="23" t="s">
        <v>40</v>
      </c>
      <c r="D56" s="49"/>
      <c r="E56" s="28">
        <v>249</v>
      </c>
      <c r="F56" s="28">
        <v>463</v>
      </c>
      <c r="G56" s="28">
        <v>330</v>
      </c>
      <c r="H56" s="29">
        <v>383</v>
      </c>
    </row>
    <row r="57" spans="2:8" x14ac:dyDescent="0.2">
      <c r="B57" s="45"/>
      <c r="C57" s="46"/>
      <c r="D57" s="49"/>
      <c r="E57" s="49"/>
      <c r="F57" s="49"/>
      <c r="G57" s="49"/>
      <c r="H57" s="50"/>
    </row>
    <row r="58" spans="2:8" x14ac:dyDescent="0.2">
      <c r="B58" s="45" t="s">
        <v>47</v>
      </c>
      <c r="C58" s="46" t="s">
        <v>48</v>
      </c>
      <c r="D58" s="49"/>
      <c r="E58" s="31">
        <f>(E53-E46)/E46*100</f>
        <v>199.40213735894179</v>
      </c>
      <c r="F58" s="31">
        <f>(F53-F46)/F46*100</f>
        <v>27.123646157666521</v>
      </c>
      <c r="G58" s="31">
        <f>(G53-G46)/G46*100</f>
        <v>41.915452591354189</v>
      </c>
      <c r="H58" s="51">
        <f>(H53-H46)/H46*100</f>
        <v>31.707158280797316</v>
      </c>
    </row>
    <row r="59" spans="2:8" ht="12.75" thickBot="1" x14ac:dyDescent="0.25">
      <c r="B59" s="52"/>
      <c r="C59" s="53"/>
      <c r="D59" s="54"/>
      <c r="E59" s="54"/>
      <c r="F59" s="54"/>
      <c r="G59" s="54"/>
      <c r="H59" s="55"/>
    </row>
    <row r="60" spans="2:8" x14ac:dyDescent="0.2">
      <c r="B60" s="56"/>
      <c r="C60" s="56"/>
      <c r="D60" s="57"/>
      <c r="E60" s="57"/>
      <c r="F60" s="57"/>
      <c r="G60" s="57"/>
      <c r="H60" s="57"/>
    </row>
    <row r="61" spans="2:8" x14ac:dyDescent="0.2">
      <c r="B61" s="15" t="s">
        <v>62</v>
      </c>
      <c r="C61" s="15"/>
      <c r="D61" s="58"/>
      <c r="E61" s="58">
        <f>E46/E44*(-100)</f>
        <v>13.704985865869146</v>
      </c>
      <c r="F61" s="58">
        <f t="shared" ref="F61:H61" si="12">F46/F44*(-100)</f>
        <v>51.895873192105235</v>
      </c>
      <c r="G61" s="58">
        <f t="shared" si="12"/>
        <v>37.089201877934272</v>
      </c>
      <c r="H61" s="58">
        <f t="shared" si="12"/>
        <v>44.639864373940419</v>
      </c>
    </row>
    <row r="62" spans="2:8" x14ac:dyDescent="0.2">
      <c r="B62" s="15" t="s">
        <v>63</v>
      </c>
      <c r="C62" s="15"/>
      <c r="D62" s="15"/>
      <c r="E62" s="58">
        <f>E53/E51*(-100)</f>
        <v>41.034701737135364</v>
      </c>
      <c r="F62" s="58">
        <f t="shared" ref="F62:H62" si="13">F53/F51*(-100)</f>
        <v>65.971926207163179</v>
      </c>
      <c r="G62" s="58">
        <f t="shared" si="13"/>
        <v>52.635308707591463</v>
      </c>
      <c r="H62" s="58">
        <f t="shared" si="13"/>
        <v>58.79389682731896</v>
      </c>
    </row>
    <row r="63" spans="2:8" x14ac:dyDescent="0.2">
      <c r="B63" s="59"/>
      <c r="C63" s="59"/>
      <c r="D63" s="59"/>
      <c r="E63" s="60"/>
      <c r="F63" s="60"/>
      <c r="G63" s="60"/>
      <c r="H63" s="60"/>
    </row>
    <row r="64" spans="2:8" x14ac:dyDescent="0.2">
      <c r="B64" s="61" t="s">
        <v>5</v>
      </c>
      <c r="C64" s="62"/>
      <c r="D64" s="62"/>
      <c r="E64" s="61" t="s">
        <v>7</v>
      </c>
      <c r="F64" s="61" t="s">
        <v>8</v>
      </c>
      <c r="G64" s="61" t="s">
        <v>9</v>
      </c>
      <c r="H64" s="61" t="s">
        <v>10</v>
      </c>
    </row>
    <row r="65" spans="2:8" ht="14.25" x14ac:dyDescent="0.2">
      <c r="B65" s="61" t="s">
        <v>64</v>
      </c>
      <c r="C65" s="63" t="s">
        <v>65</v>
      </c>
      <c r="D65" s="62"/>
      <c r="E65" s="61">
        <f>E7</f>
        <v>353</v>
      </c>
      <c r="F65" s="61">
        <f t="shared" ref="F65:H65" si="14">F7</f>
        <v>353</v>
      </c>
      <c r="G65" s="61">
        <f t="shared" si="14"/>
        <v>353</v>
      </c>
      <c r="H65" s="61">
        <f t="shared" si="14"/>
        <v>353</v>
      </c>
    </row>
    <row r="66" spans="2:8" ht="26.25" x14ac:dyDescent="0.2">
      <c r="B66" s="64" t="s">
        <v>66</v>
      </c>
      <c r="C66" s="63"/>
      <c r="D66" s="63"/>
      <c r="E66" s="63"/>
      <c r="F66" s="63"/>
      <c r="G66" s="63"/>
      <c r="H66" s="63"/>
    </row>
    <row r="67" spans="2:8" ht="14.25" x14ac:dyDescent="0.2">
      <c r="B67" s="63" t="s">
        <v>67</v>
      </c>
      <c r="C67" s="63" t="s">
        <v>68</v>
      </c>
      <c r="D67" s="63"/>
      <c r="E67" s="65">
        <f>E51/E7</f>
        <v>276.57790368271952</v>
      </c>
      <c r="F67" s="65">
        <f t="shared" ref="F67:H67" si="15">F51/F7</f>
        <v>571.5410764872521</v>
      </c>
      <c r="G67" s="65">
        <f t="shared" si="15"/>
        <v>511.68271954674219</v>
      </c>
      <c r="H67" s="65">
        <f t="shared" si="15"/>
        <v>584.84419263456095</v>
      </c>
    </row>
    <row r="68" spans="2:8" ht="14.25" x14ac:dyDescent="0.2">
      <c r="B68" s="63" t="s">
        <v>69</v>
      </c>
      <c r="C68" s="63" t="s">
        <v>68</v>
      </c>
      <c r="D68" s="63"/>
      <c r="E68" s="65">
        <f>E52/E7</f>
        <v>163.08498583569406</v>
      </c>
      <c r="F68" s="65">
        <f t="shared" ref="F68:H68" si="16">F52/F7</f>
        <v>194.48441926345609</v>
      </c>
      <c r="G68" s="65">
        <f t="shared" si="16"/>
        <v>242.35694050991501</v>
      </c>
      <c r="H68" s="65">
        <f t="shared" si="16"/>
        <v>240.99150141643059</v>
      </c>
    </row>
    <row r="69" spans="2:8" ht="14.25" x14ac:dyDescent="0.2">
      <c r="B69" s="61" t="s">
        <v>70</v>
      </c>
      <c r="C69" s="63" t="s">
        <v>68</v>
      </c>
      <c r="D69" s="61"/>
      <c r="E69" s="66">
        <f>E68-E67</f>
        <v>-113.49291784702547</v>
      </c>
      <c r="F69" s="66">
        <f t="shared" ref="F69:H69" si="17">F68-F67</f>
        <v>-377.05665722379604</v>
      </c>
      <c r="G69" s="66">
        <f t="shared" si="17"/>
        <v>-269.32577903682716</v>
      </c>
      <c r="H69" s="66">
        <f t="shared" si="17"/>
        <v>-343.85269121813036</v>
      </c>
    </row>
    <row r="70" spans="2:8" x14ac:dyDescent="0.2">
      <c r="B70" s="63"/>
      <c r="C70" s="63"/>
      <c r="D70" s="63"/>
      <c r="E70" s="63"/>
      <c r="F70" s="63"/>
      <c r="G70" s="63"/>
      <c r="H70" s="67"/>
    </row>
    <row r="71" spans="2:8" ht="26.25" x14ac:dyDescent="0.2">
      <c r="B71" s="64" t="s">
        <v>71</v>
      </c>
      <c r="C71" s="63"/>
      <c r="D71" s="63"/>
      <c r="E71" s="63"/>
      <c r="F71" s="63"/>
      <c r="G71" s="63"/>
      <c r="H71" s="67"/>
    </row>
    <row r="72" spans="2:8" ht="14.25" x14ac:dyDescent="0.2">
      <c r="B72" s="61" t="s">
        <v>72</v>
      </c>
      <c r="C72" s="63" t="s">
        <v>68</v>
      </c>
      <c r="D72" s="61"/>
      <c r="E72" s="68">
        <f>E38</f>
        <v>579.15</v>
      </c>
      <c r="F72" s="68">
        <f t="shared" ref="F72:H72" si="18">F38</f>
        <v>896.61</v>
      </c>
      <c r="G72" s="68">
        <f t="shared" si="18"/>
        <v>832.26</v>
      </c>
      <c r="H72" s="68">
        <f t="shared" si="18"/>
        <v>910.91</v>
      </c>
    </row>
    <row r="73" spans="2:8" ht="14.25" x14ac:dyDescent="0.2">
      <c r="B73" s="61" t="s">
        <v>73</v>
      </c>
      <c r="C73" s="63" t="s">
        <v>68</v>
      </c>
      <c r="D73" s="63"/>
      <c r="E73" s="68">
        <f>$D38</f>
        <v>318.89</v>
      </c>
      <c r="F73" s="68">
        <f t="shared" ref="F73:H73" si="19">$D38</f>
        <v>318.89</v>
      </c>
      <c r="G73" s="68">
        <f t="shared" si="19"/>
        <v>318.89</v>
      </c>
      <c r="H73" s="68">
        <f t="shared" si="19"/>
        <v>318.89</v>
      </c>
    </row>
    <row r="74" spans="2:8" ht="14.25" x14ac:dyDescent="0.2">
      <c r="B74" s="61" t="s">
        <v>74</v>
      </c>
      <c r="C74" s="63" t="s">
        <v>68</v>
      </c>
      <c r="D74" s="61"/>
      <c r="E74" s="69">
        <f>E72-E73</f>
        <v>260.26</v>
      </c>
      <c r="F74" s="69">
        <f t="shared" ref="F74:H74" si="20">F72-F73</f>
        <v>577.72</v>
      </c>
      <c r="G74" s="69">
        <f t="shared" si="20"/>
        <v>513.37</v>
      </c>
      <c r="H74" s="69">
        <f t="shared" si="20"/>
        <v>592.02</v>
      </c>
    </row>
    <row r="75" spans="2:8" x14ac:dyDescent="0.2">
      <c r="B75" s="61" t="s">
        <v>75</v>
      </c>
      <c r="C75" s="63" t="s">
        <v>33</v>
      </c>
      <c r="D75" s="61"/>
      <c r="E75" s="70">
        <f>E51/(($D$11-E11)*E7*25)</f>
        <v>8.3936755212770428E-2</v>
      </c>
      <c r="F75" s="70">
        <f t="shared" ref="F75:H75" si="21">F51/(($D$11-F11)*F7*25)</f>
        <v>0.14544880429755749</v>
      </c>
      <c r="G75" s="70">
        <f t="shared" si="21"/>
        <v>0.10569773177995088</v>
      </c>
      <c r="H75" s="70">
        <f t="shared" si="21"/>
        <v>0.12154500808116817</v>
      </c>
    </row>
    <row r="76" spans="2:8" x14ac:dyDescent="0.2">
      <c r="B76" s="71" t="s">
        <v>76</v>
      </c>
      <c r="C76" s="71" t="s">
        <v>77</v>
      </c>
      <c r="D76" s="72"/>
      <c r="E76" s="73">
        <f>E51/(($D$11-E11)*0.182*E7*25)*1000</f>
        <v>461.19096270752982</v>
      </c>
      <c r="F76" s="73">
        <f t="shared" ref="F76:H76" si="22">F51/(($D$11-F11)*0.182*F7*25)*1000</f>
        <v>799.16925438218391</v>
      </c>
      <c r="G76" s="73">
        <f t="shared" si="22"/>
        <v>580.75676802170813</v>
      </c>
      <c r="H76" s="73">
        <f t="shared" si="22"/>
        <v>667.82971473169312</v>
      </c>
    </row>
    <row r="77" spans="2:8" x14ac:dyDescent="0.2">
      <c r="B77" s="56"/>
    </row>
    <row r="80" spans="2:8" x14ac:dyDescent="0.2">
      <c r="B80" s="56"/>
      <c r="C80" s="56"/>
      <c r="D80" s="56"/>
      <c r="E80" s="56"/>
      <c r="F80" s="56"/>
      <c r="G80" s="56"/>
      <c r="H80" s="56"/>
    </row>
    <row r="81" spans="2:8" x14ac:dyDescent="0.2">
      <c r="H81" s="74"/>
    </row>
    <row r="82" spans="2:8" x14ac:dyDescent="0.2">
      <c r="H82" s="74"/>
    </row>
    <row r="83" spans="2:8" x14ac:dyDescent="0.2">
      <c r="B83" s="56"/>
      <c r="C83" s="56"/>
      <c r="D83" s="56"/>
      <c r="E83" s="56"/>
      <c r="F83" s="56"/>
      <c r="G83" s="56"/>
      <c r="H83" s="75"/>
    </row>
    <row r="84" spans="2:8" x14ac:dyDescent="0.2">
      <c r="B84" s="56"/>
      <c r="C84" s="56"/>
    </row>
    <row r="85" spans="2:8" x14ac:dyDescent="0.2">
      <c r="B85" s="56"/>
      <c r="C85" s="56"/>
      <c r="D85" s="56"/>
      <c r="E85" s="76"/>
      <c r="F85" s="76"/>
      <c r="G85" s="76"/>
      <c r="H85" s="76"/>
    </row>
    <row r="86" spans="2:8" x14ac:dyDescent="0.2">
      <c r="B86" s="77"/>
      <c r="C86" s="77"/>
      <c r="E86" s="78"/>
      <c r="F86" s="78"/>
      <c r="G86" s="78"/>
      <c r="H86" s="78"/>
    </row>
  </sheetData>
  <mergeCells count="1">
    <mergeCell ref="B2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BA71B-4A27-43F0-A220-21F4578C1B56}">
  <dimension ref="B1:H85"/>
  <sheetViews>
    <sheetView workbookViewId="0">
      <selection activeCell="B1" sqref="B1"/>
    </sheetView>
  </sheetViews>
  <sheetFormatPr baseColWidth="10" defaultColWidth="8.7109375" defaultRowHeight="12" x14ac:dyDescent="0.2"/>
  <cols>
    <col min="1" max="1" width="5.140625" style="1" customWidth="1"/>
    <col min="2" max="2" width="43.7109375" style="1" customWidth="1"/>
    <col min="3" max="16384" width="8.7109375" style="1"/>
  </cols>
  <sheetData>
    <row r="1" spans="2:8" ht="15" x14ac:dyDescent="0.25">
      <c r="B1" s="2" t="s">
        <v>121</v>
      </c>
    </row>
    <row r="2" spans="2:8" x14ac:dyDescent="0.2">
      <c r="B2" s="169"/>
      <c r="C2" s="169" t="s">
        <v>5</v>
      </c>
      <c r="D2" s="169" t="s">
        <v>6</v>
      </c>
      <c r="E2" s="169" t="s">
        <v>7</v>
      </c>
      <c r="F2" s="169" t="s">
        <v>8</v>
      </c>
      <c r="G2" s="169" t="s">
        <v>9</v>
      </c>
      <c r="H2" s="169" t="s">
        <v>10</v>
      </c>
    </row>
    <row r="3" spans="2:8" x14ac:dyDescent="0.2">
      <c r="B3" s="170" t="s">
        <v>108</v>
      </c>
      <c r="C3" s="170" t="s">
        <v>12</v>
      </c>
      <c r="D3" s="170" t="s">
        <v>13</v>
      </c>
      <c r="E3" s="170" t="s">
        <v>13</v>
      </c>
      <c r="F3" s="170" t="s">
        <v>13</v>
      </c>
      <c r="G3" s="170" t="s">
        <v>13</v>
      </c>
      <c r="H3" s="170" t="s">
        <v>109</v>
      </c>
    </row>
    <row r="4" spans="2:8" x14ac:dyDescent="0.2">
      <c r="B4" s="170" t="s">
        <v>15</v>
      </c>
      <c r="C4" s="170" t="s">
        <v>80</v>
      </c>
      <c r="D4" s="170">
        <v>1778</v>
      </c>
      <c r="E4" s="170">
        <v>1778</v>
      </c>
      <c r="F4" s="170">
        <v>1778</v>
      </c>
      <c r="G4" s="170">
        <v>1778</v>
      </c>
      <c r="H4" s="170">
        <v>1778</v>
      </c>
    </row>
    <row r="5" spans="2:8" x14ac:dyDescent="0.2">
      <c r="B5" s="170" t="s">
        <v>17</v>
      </c>
      <c r="C5" s="170" t="s">
        <v>18</v>
      </c>
      <c r="D5" s="170">
        <v>1.28</v>
      </c>
      <c r="E5" s="170">
        <v>0.4</v>
      </c>
      <c r="F5" s="170">
        <v>0.41</v>
      </c>
      <c r="G5" s="170">
        <v>0.24</v>
      </c>
      <c r="H5" s="170">
        <v>0.28000000000000003</v>
      </c>
    </row>
    <row r="6" spans="2:8" x14ac:dyDescent="0.2">
      <c r="B6" s="170" t="s">
        <v>19</v>
      </c>
      <c r="C6" s="170" t="s">
        <v>20</v>
      </c>
      <c r="D6" s="170">
        <v>213.6</v>
      </c>
      <c r="E6" s="170">
        <v>82.4</v>
      </c>
      <c r="F6" s="170">
        <v>56.9</v>
      </c>
      <c r="G6" s="170">
        <v>35.1</v>
      </c>
      <c r="H6" s="170">
        <v>63</v>
      </c>
    </row>
    <row r="7" spans="2:8" x14ac:dyDescent="0.2">
      <c r="B7" s="171" t="s">
        <v>110</v>
      </c>
      <c r="C7" s="171" t="s">
        <v>20</v>
      </c>
      <c r="D7" s="171">
        <v>217.3</v>
      </c>
      <c r="E7" s="171">
        <v>91.2</v>
      </c>
      <c r="F7" s="171">
        <v>63.1</v>
      </c>
      <c r="G7" s="171">
        <v>39</v>
      </c>
      <c r="H7" s="172">
        <f>H6/G6*G7*133/182</f>
        <v>51.153846153846153</v>
      </c>
    </row>
    <row r="8" spans="2:8" x14ac:dyDescent="0.2">
      <c r="B8" s="170" t="s">
        <v>82</v>
      </c>
      <c r="C8" s="170" t="s">
        <v>24</v>
      </c>
      <c r="D8" s="170">
        <v>49.1</v>
      </c>
      <c r="E8" s="170">
        <v>20.6</v>
      </c>
      <c r="F8" s="170">
        <v>14.3</v>
      </c>
      <c r="G8" s="170">
        <v>8.9</v>
      </c>
      <c r="H8" s="173">
        <f>H6/F6*F8*133/182</f>
        <v>11.570298769771531</v>
      </c>
    </row>
    <row r="9" spans="2:8" x14ac:dyDescent="0.2">
      <c r="B9" s="170"/>
      <c r="C9" s="170"/>
      <c r="D9" s="170"/>
      <c r="E9" s="170"/>
      <c r="F9" s="170"/>
      <c r="G9" s="170"/>
      <c r="H9" s="174"/>
    </row>
    <row r="10" spans="2:8" ht="14.25" x14ac:dyDescent="0.2">
      <c r="B10" s="170" t="s">
        <v>84</v>
      </c>
      <c r="C10" s="170" t="s">
        <v>85</v>
      </c>
      <c r="D10" s="170">
        <v>223</v>
      </c>
      <c r="E10" s="170">
        <v>311</v>
      </c>
      <c r="F10" s="170">
        <v>505</v>
      </c>
      <c r="G10" s="170">
        <v>598</v>
      </c>
      <c r="H10" s="170">
        <v>461</v>
      </c>
    </row>
    <row r="11" spans="2:8" x14ac:dyDescent="0.2">
      <c r="B11" s="170"/>
      <c r="C11" s="170"/>
      <c r="D11" s="170"/>
      <c r="E11" s="170"/>
      <c r="F11" s="170"/>
      <c r="G11" s="170"/>
      <c r="H11" s="170"/>
    </row>
    <row r="12" spans="2:8" x14ac:dyDescent="0.2">
      <c r="B12" s="170" t="s">
        <v>86</v>
      </c>
      <c r="C12" s="170"/>
      <c r="D12" s="170">
        <v>0</v>
      </c>
      <c r="E12" s="170">
        <v>0</v>
      </c>
      <c r="F12" s="170"/>
      <c r="G12" s="170"/>
      <c r="H12" s="170"/>
    </row>
    <row r="13" spans="2:8" x14ac:dyDescent="0.2">
      <c r="B13" s="170" t="s">
        <v>87</v>
      </c>
      <c r="C13" s="170" t="s">
        <v>88</v>
      </c>
      <c r="D13" s="170"/>
      <c r="E13" s="170"/>
      <c r="F13" s="170"/>
      <c r="G13" s="170"/>
      <c r="H13" s="170"/>
    </row>
    <row r="14" spans="2:8" x14ac:dyDescent="0.2">
      <c r="B14" s="12" t="s">
        <v>89</v>
      </c>
      <c r="C14" s="12" t="s">
        <v>88</v>
      </c>
      <c r="D14" s="12">
        <v>-20</v>
      </c>
      <c r="E14" s="12">
        <v>3</v>
      </c>
      <c r="F14" s="12">
        <v>10</v>
      </c>
      <c r="G14" s="12">
        <v>20</v>
      </c>
      <c r="H14" s="12">
        <v>30</v>
      </c>
    </row>
    <row r="15" spans="2:8" x14ac:dyDescent="0.2">
      <c r="B15" s="175" t="s">
        <v>111</v>
      </c>
      <c r="C15" s="175" t="s">
        <v>20</v>
      </c>
      <c r="D15" s="173">
        <f>D7*(1+D14/100)</f>
        <v>173.84000000000003</v>
      </c>
      <c r="E15" s="173">
        <f t="shared" ref="E15:H15" si="0">E7*(1+E14/100)</f>
        <v>93.936000000000007</v>
      </c>
      <c r="F15" s="173">
        <f t="shared" si="0"/>
        <v>69.410000000000011</v>
      </c>
      <c r="G15" s="173">
        <f t="shared" si="0"/>
        <v>46.8</v>
      </c>
      <c r="H15" s="173">
        <f t="shared" si="0"/>
        <v>66.5</v>
      </c>
    </row>
    <row r="16" spans="2:8" x14ac:dyDescent="0.2">
      <c r="B16" s="170"/>
      <c r="C16" s="170"/>
      <c r="D16" s="170"/>
      <c r="E16" s="170"/>
      <c r="F16" s="170"/>
      <c r="G16" s="170"/>
      <c r="H16" s="170"/>
    </row>
    <row r="17" spans="2:8" x14ac:dyDescent="0.2">
      <c r="B17" s="176" t="s">
        <v>25</v>
      </c>
      <c r="C17" s="170"/>
      <c r="D17" s="177">
        <v>144</v>
      </c>
      <c r="E17" s="177">
        <v>266</v>
      </c>
      <c r="F17" s="177">
        <v>419</v>
      </c>
      <c r="G17" s="177">
        <v>518</v>
      </c>
      <c r="H17" s="177">
        <v>409</v>
      </c>
    </row>
    <row r="18" spans="2:8" x14ac:dyDescent="0.2">
      <c r="B18" s="170" t="s">
        <v>112</v>
      </c>
      <c r="C18" s="170" t="s">
        <v>113</v>
      </c>
      <c r="D18" s="177">
        <v>144</v>
      </c>
      <c r="E18" s="177">
        <v>266</v>
      </c>
      <c r="F18" s="177">
        <v>419</v>
      </c>
      <c r="G18" s="177">
        <v>518</v>
      </c>
      <c r="H18" s="177">
        <v>409</v>
      </c>
    </row>
    <row r="19" spans="2:8" x14ac:dyDescent="0.2">
      <c r="B19" s="170" t="s">
        <v>31</v>
      </c>
      <c r="C19" s="170" t="s">
        <v>29</v>
      </c>
      <c r="D19" s="170">
        <f>D18*D4</f>
        <v>256032</v>
      </c>
      <c r="E19" s="170">
        <f t="shared" ref="E19:H19" si="1">E18*E4</f>
        <v>472948</v>
      </c>
      <c r="F19" s="170">
        <f t="shared" si="1"/>
        <v>744982</v>
      </c>
      <c r="G19" s="170">
        <f t="shared" si="1"/>
        <v>921004</v>
      </c>
      <c r="H19" s="170">
        <f t="shared" si="1"/>
        <v>727202</v>
      </c>
    </row>
    <row r="20" spans="2:8" x14ac:dyDescent="0.2">
      <c r="B20" s="170" t="s">
        <v>30</v>
      </c>
      <c r="C20" s="170" t="s">
        <v>29</v>
      </c>
      <c r="D20" s="170">
        <f>D18*D4</f>
        <v>256032</v>
      </c>
      <c r="E20" s="170">
        <f>D18*E4</f>
        <v>256032</v>
      </c>
      <c r="F20" s="170">
        <f>D18*F4</f>
        <v>256032</v>
      </c>
      <c r="G20" s="170">
        <f>D18*G4</f>
        <v>256032</v>
      </c>
      <c r="H20" s="170">
        <f>D18*H4</f>
        <v>256032</v>
      </c>
    </row>
    <row r="21" spans="2:8" x14ac:dyDescent="0.2">
      <c r="B21" s="170" t="s">
        <v>28</v>
      </c>
      <c r="C21" s="170" t="s">
        <v>29</v>
      </c>
      <c r="D21" s="170">
        <f>D19-D20</f>
        <v>0</v>
      </c>
      <c r="E21" s="170">
        <f t="shared" ref="E21:H21" si="2">E19-E20</f>
        <v>216916</v>
      </c>
      <c r="F21" s="170">
        <f t="shared" si="2"/>
        <v>488950</v>
      </c>
      <c r="G21" s="170">
        <f t="shared" si="2"/>
        <v>664972</v>
      </c>
      <c r="H21" s="170">
        <f t="shared" si="2"/>
        <v>471170</v>
      </c>
    </row>
    <row r="22" spans="2:8" x14ac:dyDescent="0.2">
      <c r="B22" s="170" t="s">
        <v>91</v>
      </c>
      <c r="C22" s="170" t="s">
        <v>33</v>
      </c>
      <c r="D22" s="170">
        <v>0.06</v>
      </c>
      <c r="E22" s="170">
        <v>0.06</v>
      </c>
      <c r="F22" s="170">
        <v>0.06</v>
      </c>
      <c r="G22" s="170">
        <v>0.06</v>
      </c>
      <c r="H22" s="170">
        <v>0.06</v>
      </c>
    </row>
    <row r="23" spans="2:8" x14ac:dyDescent="0.2">
      <c r="B23" s="170" t="s">
        <v>94</v>
      </c>
      <c r="C23" s="170" t="s">
        <v>33</v>
      </c>
      <c r="D23" s="170">
        <v>0.06</v>
      </c>
      <c r="E23" s="170">
        <v>0.06</v>
      </c>
      <c r="F23" s="170">
        <v>0.06</v>
      </c>
      <c r="G23" s="170">
        <v>0.06</v>
      </c>
      <c r="H23" s="170">
        <v>0.31</v>
      </c>
    </row>
    <row r="24" spans="2:8" x14ac:dyDescent="0.2">
      <c r="B24" s="170"/>
      <c r="C24" s="170"/>
      <c r="D24" s="170"/>
      <c r="E24" s="170"/>
      <c r="F24" s="170"/>
      <c r="G24" s="170"/>
      <c r="H24" s="170"/>
    </row>
    <row r="25" spans="2:8" x14ac:dyDescent="0.2">
      <c r="B25" s="170" t="s">
        <v>34</v>
      </c>
      <c r="C25" s="170" t="s">
        <v>29</v>
      </c>
      <c r="D25" s="170"/>
      <c r="E25" s="170">
        <v>215570</v>
      </c>
      <c r="F25" s="170">
        <v>456894</v>
      </c>
      <c r="G25" s="170">
        <v>612995</v>
      </c>
      <c r="H25" s="170">
        <v>441191</v>
      </c>
    </row>
    <row r="26" spans="2:8" x14ac:dyDescent="0.2">
      <c r="B26" s="170" t="s">
        <v>35</v>
      </c>
      <c r="C26" s="170" t="s">
        <v>29</v>
      </c>
      <c r="D26" s="170"/>
      <c r="E26" s="170">
        <v>236796</v>
      </c>
      <c r="F26" s="170">
        <v>289563</v>
      </c>
      <c r="G26" s="170">
        <v>334819</v>
      </c>
      <c r="H26" s="170">
        <v>-88697</v>
      </c>
    </row>
    <row r="27" spans="2:8" x14ac:dyDescent="0.2">
      <c r="B27" s="171" t="s">
        <v>36</v>
      </c>
      <c r="C27" s="171" t="s">
        <v>29</v>
      </c>
      <c r="D27" s="171"/>
      <c r="E27" s="178">
        <f>E26-E25</f>
        <v>21226</v>
      </c>
      <c r="F27" s="178">
        <f t="shared" ref="F27:H27" si="3">F26-F25</f>
        <v>-167331</v>
      </c>
      <c r="G27" s="178">
        <f t="shared" si="3"/>
        <v>-278176</v>
      </c>
      <c r="H27" s="178">
        <f t="shared" si="3"/>
        <v>-529888</v>
      </c>
    </row>
    <row r="28" spans="2:8" x14ac:dyDescent="0.2">
      <c r="B28" s="170" t="s">
        <v>37</v>
      </c>
      <c r="C28" s="170" t="s">
        <v>38</v>
      </c>
      <c r="D28" s="170"/>
      <c r="E28" s="179">
        <v>5.5E-2</v>
      </c>
      <c r="F28" s="179">
        <v>9.6000000000000002E-2</v>
      </c>
      <c r="G28" s="179">
        <v>0.09</v>
      </c>
      <c r="H28" s="179">
        <v>4.9000000000000002E-2</v>
      </c>
    </row>
    <row r="29" spans="2:8" x14ac:dyDescent="0.2">
      <c r="B29" s="170" t="s">
        <v>101</v>
      </c>
      <c r="C29" s="170" t="s">
        <v>38</v>
      </c>
      <c r="D29" s="170"/>
      <c r="E29" s="179">
        <v>5.5E-2</v>
      </c>
      <c r="F29" s="179">
        <v>9.6000000000000002E-2</v>
      </c>
      <c r="G29" s="179">
        <v>0.09</v>
      </c>
      <c r="H29" s="179">
        <v>0</v>
      </c>
    </row>
    <row r="30" spans="2:8" x14ac:dyDescent="0.2">
      <c r="B30" s="22" t="s">
        <v>39</v>
      </c>
      <c r="C30" s="23" t="s">
        <v>40</v>
      </c>
      <c r="D30" s="170"/>
      <c r="E30" s="180">
        <v>262</v>
      </c>
      <c r="F30" s="180">
        <v>716</v>
      </c>
      <c r="G30" s="170" t="s">
        <v>60</v>
      </c>
      <c r="H30" s="180" t="s">
        <v>97</v>
      </c>
    </row>
    <row r="31" spans="2:8" x14ac:dyDescent="0.2">
      <c r="B31" s="22" t="s">
        <v>41</v>
      </c>
      <c r="C31" s="23" t="s">
        <v>40</v>
      </c>
      <c r="D31" s="170"/>
      <c r="E31" s="180">
        <v>194</v>
      </c>
      <c r="F31" s="180">
        <v>357</v>
      </c>
      <c r="G31" s="180">
        <v>420</v>
      </c>
      <c r="H31" s="180" t="s">
        <v>97</v>
      </c>
    </row>
    <row r="32" spans="2:8" x14ac:dyDescent="0.2">
      <c r="B32" s="170"/>
      <c r="C32" s="170"/>
      <c r="D32" s="170"/>
      <c r="E32" s="170"/>
      <c r="F32" s="170"/>
      <c r="G32" s="170"/>
      <c r="H32" s="170"/>
    </row>
    <row r="33" spans="2:8" x14ac:dyDescent="0.2">
      <c r="B33" s="170" t="s">
        <v>42</v>
      </c>
      <c r="C33" s="170" t="s">
        <v>29</v>
      </c>
      <c r="D33" s="170"/>
      <c r="E33" s="170">
        <v>215570</v>
      </c>
      <c r="F33" s="170">
        <v>456894</v>
      </c>
      <c r="G33" s="170">
        <v>612995</v>
      </c>
      <c r="H33" s="170">
        <v>441191</v>
      </c>
    </row>
    <row r="34" spans="2:8" x14ac:dyDescent="0.2">
      <c r="B34" s="170" t="s">
        <v>43</v>
      </c>
      <c r="C34" s="170" t="s">
        <v>29</v>
      </c>
      <c r="D34" s="170"/>
      <c r="E34" s="170">
        <v>150040</v>
      </c>
      <c r="F34" s="170">
        <v>196047</v>
      </c>
      <c r="G34" s="170">
        <v>238486</v>
      </c>
      <c r="H34" s="170">
        <v>-318826</v>
      </c>
    </row>
    <row r="35" spans="2:8" x14ac:dyDescent="0.2">
      <c r="B35" s="171" t="s">
        <v>44</v>
      </c>
      <c r="C35" s="171" t="s">
        <v>29</v>
      </c>
      <c r="D35" s="171"/>
      <c r="E35" s="178">
        <f>E34-E33</f>
        <v>-65530</v>
      </c>
      <c r="F35" s="178">
        <f t="shared" ref="F35:H35" si="4">F34-F33</f>
        <v>-260847</v>
      </c>
      <c r="G35" s="178">
        <f t="shared" si="4"/>
        <v>-374509</v>
      </c>
      <c r="H35" s="178">
        <f t="shared" si="4"/>
        <v>-760017</v>
      </c>
    </row>
    <row r="36" spans="2:8" x14ac:dyDescent="0.2">
      <c r="B36" s="170" t="s">
        <v>45</v>
      </c>
      <c r="C36" s="170" t="s">
        <v>38</v>
      </c>
      <c r="D36" s="170"/>
      <c r="E36" s="179">
        <v>8.6999999999999994E-2</v>
      </c>
      <c r="F36" s="179">
        <v>0.13600000000000001</v>
      </c>
      <c r="G36" s="179">
        <v>0.155</v>
      </c>
      <c r="H36" s="179">
        <v>6.0999999999999999E-2</v>
      </c>
    </row>
    <row r="37" spans="2:8" x14ac:dyDescent="0.2">
      <c r="B37" s="170" t="s">
        <v>114</v>
      </c>
      <c r="C37" s="170" t="s">
        <v>38</v>
      </c>
      <c r="D37" s="170"/>
      <c r="E37" s="179">
        <v>8.6999999999999994E-2</v>
      </c>
      <c r="F37" s="179">
        <v>0.13600000000000001</v>
      </c>
      <c r="G37" s="179">
        <v>0.155</v>
      </c>
      <c r="H37" s="179">
        <v>0</v>
      </c>
    </row>
    <row r="38" spans="2:8" x14ac:dyDescent="0.2">
      <c r="B38" s="22" t="s">
        <v>39</v>
      </c>
      <c r="C38" s="23" t="s">
        <v>40</v>
      </c>
      <c r="D38" s="170"/>
      <c r="E38" s="170">
        <v>569</v>
      </c>
      <c r="F38" s="170" t="s">
        <v>60</v>
      </c>
      <c r="G38" s="170" t="s">
        <v>60</v>
      </c>
      <c r="H38" s="170" t="s">
        <v>97</v>
      </c>
    </row>
    <row r="39" spans="2:8" x14ac:dyDescent="0.2">
      <c r="B39" s="22" t="s">
        <v>41</v>
      </c>
      <c r="C39" s="23" t="s">
        <v>40</v>
      </c>
      <c r="D39" s="170"/>
      <c r="E39" s="170">
        <v>306</v>
      </c>
      <c r="F39" s="170">
        <v>527</v>
      </c>
      <c r="G39" s="170">
        <v>589</v>
      </c>
      <c r="H39" s="170" t="s">
        <v>97</v>
      </c>
    </row>
    <row r="40" spans="2:8" x14ac:dyDescent="0.2">
      <c r="B40" s="170"/>
      <c r="C40" s="170"/>
      <c r="D40" s="170"/>
      <c r="E40" s="170"/>
      <c r="F40" s="170"/>
      <c r="G40" s="170"/>
      <c r="H40" s="170"/>
    </row>
    <row r="41" spans="2:8" x14ac:dyDescent="0.2">
      <c r="B41" s="170"/>
      <c r="C41" s="170"/>
      <c r="D41" s="170"/>
      <c r="E41" s="174"/>
      <c r="F41" s="174">
        <f t="shared" ref="F41:H41" si="5">(F35-F27)/F27*100</f>
        <v>55.886835075389499</v>
      </c>
      <c r="G41" s="174">
        <f t="shared" si="5"/>
        <v>34.630234096399406</v>
      </c>
      <c r="H41" s="174">
        <f t="shared" si="5"/>
        <v>43.429743643939851</v>
      </c>
    </row>
    <row r="42" spans="2:8" x14ac:dyDescent="0.2">
      <c r="B42" s="176" t="s">
        <v>49</v>
      </c>
      <c r="C42" s="170"/>
      <c r="D42" s="170"/>
      <c r="E42" s="170"/>
      <c r="F42" s="170"/>
      <c r="G42" s="170"/>
      <c r="H42" s="170"/>
    </row>
    <row r="43" spans="2:8" x14ac:dyDescent="0.2">
      <c r="B43" s="170" t="s">
        <v>115</v>
      </c>
      <c r="C43" s="170" t="s">
        <v>113</v>
      </c>
      <c r="D43" s="170">
        <f>1.43*D18</f>
        <v>205.92</v>
      </c>
      <c r="E43" s="170">
        <f t="shared" ref="E43:H43" si="6">1.43*E18</f>
        <v>380.38</v>
      </c>
      <c r="F43" s="170">
        <f t="shared" si="6"/>
        <v>599.16999999999996</v>
      </c>
      <c r="G43" s="170">
        <f t="shared" si="6"/>
        <v>740.74</v>
      </c>
      <c r="H43" s="170">
        <f t="shared" si="6"/>
        <v>584.87</v>
      </c>
    </row>
    <row r="44" spans="2:8" x14ac:dyDescent="0.2">
      <c r="B44" s="170" t="s">
        <v>31</v>
      </c>
      <c r="C44" s="170" t="s">
        <v>29</v>
      </c>
      <c r="D44" s="180">
        <f>D43*D4</f>
        <v>366125.75999999995</v>
      </c>
      <c r="E44" s="180">
        <f>E43*E4</f>
        <v>676315.64</v>
      </c>
      <c r="F44" s="180">
        <f>F43*F4</f>
        <v>1065324.26</v>
      </c>
      <c r="G44" s="180">
        <f>G43*G4</f>
        <v>1317035.72</v>
      </c>
      <c r="H44" s="180">
        <f>H43*H4</f>
        <v>1039898.86</v>
      </c>
    </row>
    <row r="45" spans="2:8" x14ac:dyDescent="0.2">
      <c r="B45" s="170" t="s">
        <v>30</v>
      </c>
      <c r="C45" s="170" t="s">
        <v>29</v>
      </c>
      <c r="D45" s="180">
        <f>$D$44</f>
        <v>366125.75999999995</v>
      </c>
      <c r="E45" s="180">
        <f t="shared" ref="E45:H45" si="7">$D$44</f>
        <v>366125.75999999995</v>
      </c>
      <c r="F45" s="180">
        <f t="shared" si="7"/>
        <v>366125.75999999995</v>
      </c>
      <c r="G45" s="180">
        <f t="shared" si="7"/>
        <v>366125.75999999995</v>
      </c>
      <c r="H45" s="180">
        <f t="shared" si="7"/>
        <v>366125.75999999995</v>
      </c>
    </row>
    <row r="46" spans="2:8" x14ac:dyDescent="0.2">
      <c r="B46" s="170" t="s">
        <v>28</v>
      </c>
      <c r="C46" s="170" t="s">
        <v>29</v>
      </c>
      <c r="D46" s="170">
        <f>D44-D45</f>
        <v>0</v>
      </c>
      <c r="E46" s="170">
        <f t="shared" ref="E46:H46" si="8">E44-E45</f>
        <v>310189.88000000006</v>
      </c>
      <c r="F46" s="170">
        <f t="shared" si="8"/>
        <v>699198.5</v>
      </c>
      <c r="G46" s="170">
        <f t="shared" si="8"/>
        <v>950909.96</v>
      </c>
      <c r="H46" s="170">
        <f t="shared" si="8"/>
        <v>673773.10000000009</v>
      </c>
    </row>
    <row r="47" spans="2:8" x14ac:dyDescent="0.2">
      <c r="B47" s="175" t="s">
        <v>91</v>
      </c>
      <c r="C47" s="175" t="s">
        <v>33</v>
      </c>
      <c r="D47" s="175">
        <v>0.09</v>
      </c>
      <c r="E47" s="175">
        <v>0.09</v>
      </c>
      <c r="F47" s="175">
        <v>0.09</v>
      </c>
      <c r="G47" s="175">
        <v>0.09</v>
      </c>
      <c r="H47" s="175">
        <v>0.09</v>
      </c>
    </row>
    <row r="48" spans="2:8" x14ac:dyDescent="0.2">
      <c r="B48" s="175" t="s">
        <v>94</v>
      </c>
      <c r="C48" s="175" t="s">
        <v>33</v>
      </c>
      <c r="D48" s="175">
        <v>0.09</v>
      </c>
      <c r="E48" s="175">
        <v>0.09</v>
      </c>
      <c r="F48" s="175">
        <v>0.09</v>
      </c>
      <c r="G48" s="175">
        <v>0.09</v>
      </c>
      <c r="H48" s="175">
        <v>0.33</v>
      </c>
    </row>
    <row r="49" spans="2:8" x14ac:dyDescent="0.2">
      <c r="B49" s="170"/>
      <c r="C49" s="170"/>
      <c r="D49" s="170"/>
      <c r="E49" s="170"/>
      <c r="F49" s="170"/>
      <c r="G49" s="170"/>
      <c r="H49" s="170"/>
    </row>
    <row r="50" spans="2:8" x14ac:dyDescent="0.2">
      <c r="B50" s="170" t="s">
        <v>34</v>
      </c>
      <c r="C50" s="170" t="s">
        <v>29</v>
      </c>
      <c r="D50" s="170"/>
      <c r="E50" s="170">
        <v>328087</v>
      </c>
      <c r="F50" s="170">
        <v>689725</v>
      </c>
      <c r="G50" s="170">
        <v>923763</v>
      </c>
      <c r="H50" s="170">
        <v>666210</v>
      </c>
    </row>
    <row r="51" spans="2:8" x14ac:dyDescent="0.2">
      <c r="B51" s="170" t="s">
        <v>35</v>
      </c>
      <c r="C51" s="170" t="s">
        <v>29</v>
      </c>
      <c r="D51" s="170"/>
      <c r="E51" s="170">
        <v>277417</v>
      </c>
      <c r="F51" s="170">
        <v>339236</v>
      </c>
      <c r="G51" s="170">
        <v>392256</v>
      </c>
      <c r="H51" s="170">
        <v>74510</v>
      </c>
    </row>
    <row r="52" spans="2:8" x14ac:dyDescent="0.2">
      <c r="B52" s="171" t="s">
        <v>36</v>
      </c>
      <c r="C52" s="171" t="s">
        <v>29</v>
      </c>
      <c r="D52" s="171"/>
      <c r="E52" s="178">
        <f>E51-E50</f>
        <v>-50670</v>
      </c>
      <c r="F52" s="178">
        <f t="shared" ref="F52:G52" si="9">F51-F50</f>
        <v>-350489</v>
      </c>
      <c r="G52" s="178">
        <f t="shared" si="9"/>
        <v>-531507</v>
      </c>
      <c r="H52" s="178">
        <f>H51-H50</f>
        <v>-591700</v>
      </c>
    </row>
    <row r="53" spans="2:8" x14ac:dyDescent="0.2">
      <c r="B53" s="170" t="s">
        <v>37</v>
      </c>
      <c r="C53" s="170" t="s">
        <v>38</v>
      </c>
      <c r="D53" s="170"/>
      <c r="E53" s="179">
        <v>0.108</v>
      </c>
      <c r="F53" s="179">
        <v>0.19</v>
      </c>
      <c r="G53" s="179">
        <v>0.22600000000000001</v>
      </c>
      <c r="H53" s="179">
        <v>0.13200000000000001</v>
      </c>
    </row>
    <row r="54" spans="2:8" x14ac:dyDescent="0.2">
      <c r="B54" s="170" t="s">
        <v>101</v>
      </c>
      <c r="C54" s="170" t="s">
        <v>38</v>
      </c>
      <c r="D54" s="170"/>
      <c r="E54" s="179">
        <v>0.108</v>
      </c>
      <c r="F54" s="179">
        <v>0.19</v>
      </c>
      <c r="G54" s="179">
        <v>0.22600000000000001</v>
      </c>
      <c r="H54" s="179">
        <v>0</v>
      </c>
    </row>
    <row r="55" spans="2:8" x14ac:dyDescent="0.2">
      <c r="B55" s="22" t="s">
        <v>39</v>
      </c>
      <c r="C55" s="23" t="s">
        <v>40</v>
      </c>
      <c r="D55" s="170"/>
      <c r="E55" s="180">
        <v>504</v>
      </c>
      <c r="F55" s="180" t="s">
        <v>60</v>
      </c>
      <c r="G55" s="180" t="s">
        <v>60</v>
      </c>
      <c r="H55" s="180" t="s">
        <v>60</v>
      </c>
    </row>
    <row r="56" spans="2:8" x14ac:dyDescent="0.2">
      <c r="B56" s="22" t="s">
        <v>41</v>
      </c>
      <c r="C56" s="23" t="s">
        <v>40</v>
      </c>
      <c r="D56" s="170"/>
      <c r="E56" s="180">
        <v>174</v>
      </c>
      <c r="F56" s="180">
        <v>321</v>
      </c>
      <c r="G56" s="180">
        <v>378</v>
      </c>
      <c r="H56" s="180">
        <v>339</v>
      </c>
    </row>
    <row r="57" spans="2:8" x14ac:dyDescent="0.2">
      <c r="B57" s="170"/>
      <c r="C57" s="170"/>
      <c r="D57" s="170"/>
      <c r="E57" s="170"/>
      <c r="F57" s="170"/>
      <c r="G57" s="170"/>
      <c r="H57" s="170"/>
    </row>
    <row r="58" spans="2:8" x14ac:dyDescent="0.2">
      <c r="B58" s="170" t="s">
        <v>42</v>
      </c>
      <c r="C58" s="170" t="s">
        <v>29</v>
      </c>
      <c r="D58" s="170"/>
      <c r="E58" s="170">
        <v>328087</v>
      </c>
      <c r="F58" s="170">
        <v>689725</v>
      </c>
      <c r="G58" s="170">
        <v>923763</v>
      </c>
      <c r="H58" s="170">
        <v>666210</v>
      </c>
    </row>
    <row r="59" spans="2:8" x14ac:dyDescent="0.2">
      <c r="B59" s="170" t="s">
        <v>43</v>
      </c>
      <c r="C59" s="170" t="s">
        <v>29</v>
      </c>
      <c r="D59" s="170"/>
      <c r="E59" s="170">
        <v>175778</v>
      </c>
      <c r="F59" s="170">
        <v>229678</v>
      </c>
      <c r="G59" s="170">
        <v>279398</v>
      </c>
      <c r="H59" s="170">
        <v>-141780</v>
      </c>
    </row>
    <row r="60" spans="2:8" x14ac:dyDescent="0.2">
      <c r="B60" s="171" t="s">
        <v>44</v>
      </c>
      <c r="C60" s="171" t="s">
        <v>29</v>
      </c>
      <c r="D60" s="171"/>
      <c r="E60" s="178">
        <f>E59-E58</f>
        <v>-152309</v>
      </c>
      <c r="F60" s="178">
        <f t="shared" ref="F60:H60" si="10">F59-F58</f>
        <v>-460047</v>
      </c>
      <c r="G60" s="178">
        <f t="shared" si="10"/>
        <v>-644365</v>
      </c>
      <c r="H60" s="178">
        <f t="shared" si="10"/>
        <v>-807990</v>
      </c>
    </row>
    <row r="61" spans="2:8" x14ac:dyDescent="0.2">
      <c r="B61" s="170" t="s">
        <v>45</v>
      </c>
      <c r="C61" s="170" t="s">
        <v>38</v>
      </c>
      <c r="D61" s="170"/>
      <c r="E61" s="179">
        <v>0.17499999999999999</v>
      </c>
      <c r="F61" s="179">
        <v>0.28199999999999997</v>
      </c>
      <c r="G61" s="179">
        <v>0.31900000000000001</v>
      </c>
      <c r="H61" s="179">
        <v>0.155</v>
      </c>
    </row>
    <row r="62" spans="2:8" x14ac:dyDescent="0.2">
      <c r="B62" s="170" t="s">
        <v>114</v>
      </c>
      <c r="C62" s="170" t="s">
        <v>38</v>
      </c>
      <c r="D62" s="170"/>
      <c r="E62" s="179">
        <v>0.17499999999999999</v>
      </c>
      <c r="F62" s="179">
        <v>0.29799999999999999</v>
      </c>
      <c r="G62" s="179">
        <v>0.31900000000000001</v>
      </c>
      <c r="H62" s="179">
        <v>0</v>
      </c>
    </row>
    <row r="63" spans="2:8" x14ac:dyDescent="0.2">
      <c r="B63" s="22" t="s">
        <v>39</v>
      </c>
      <c r="C63" s="23" t="s">
        <v>40</v>
      </c>
      <c r="D63" s="170"/>
      <c r="E63" s="180" t="s">
        <v>60</v>
      </c>
      <c r="F63" s="180" t="s">
        <v>60</v>
      </c>
      <c r="G63" s="181" t="s">
        <v>60</v>
      </c>
      <c r="H63" s="181" t="s">
        <v>60</v>
      </c>
    </row>
    <row r="64" spans="2:8" x14ac:dyDescent="0.2">
      <c r="B64" s="22" t="s">
        <v>41</v>
      </c>
      <c r="C64" s="23" t="s">
        <v>40</v>
      </c>
      <c r="D64" s="170"/>
      <c r="E64" s="180">
        <v>275</v>
      </c>
      <c r="F64" s="180">
        <v>474</v>
      </c>
      <c r="G64" s="181">
        <v>530</v>
      </c>
      <c r="H64" s="181">
        <v>407</v>
      </c>
    </row>
    <row r="65" spans="2:8" x14ac:dyDescent="0.2">
      <c r="B65" s="182"/>
      <c r="C65" s="170"/>
      <c r="D65" s="174"/>
      <c r="E65" s="174"/>
      <c r="F65" s="174"/>
      <c r="G65" s="183"/>
      <c r="H65" s="183"/>
    </row>
    <row r="66" spans="2:8" x14ac:dyDescent="0.2">
      <c r="B66" s="182" t="s">
        <v>116</v>
      </c>
      <c r="C66" s="170" t="s">
        <v>48</v>
      </c>
      <c r="D66" s="174"/>
      <c r="E66" s="174">
        <v>100</v>
      </c>
      <c r="F66" s="174">
        <f t="shared" ref="F66:H66" si="11">(F60-F52)/F52*100</f>
        <v>31.258612966455441</v>
      </c>
      <c r="G66" s="174">
        <f t="shared" si="11"/>
        <v>21.233586763673856</v>
      </c>
      <c r="H66" s="174">
        <f t="shared" si="11"/>
        <v>36.55399695791786</v>
      </c>
    </row>
    <row r="68" spans="2:8" x14ac:dyDescent="0.2">
      <c r="B68" s="15" t="s">
        <v>62</v>
      </c>
      <c r="C68" s="15"/>
      <c r="D68" s="58"/>
      <c r="E68" s="58">
        <f>E52/E50*(-100)</f>
        <v>15.444074285174359</v>
      </c>
      <c r="F68" s="58">
        <f t="shared" ref="F68:H68" si="12">F52/F50*(-100)</f>
        <v>50.815759904309687</v>
      </c>
      <c r="G68" s="58">
        <f t="shared" si="12"/>
        <v>57.537160505454324</v>
      </c>
      <c r="H68" s="58">
        <f t="shared" si="12"/>
        <v>88.815838849611978</v>
      </c>
    </row>
    <row r="69" spans="2:8" x14ac:dyDescent="0.2">
      <c r="B69" s="15" t="s">
        <v>63</v>
      </c>
      <c r="C69" s="15"/>
      <c r="D69" s="15"/>
      <c r="E69" s="58">
        <f>E60/E58*(-100)</f>
        <v>46.423357219274159</v>
      </c>
      <c r="F69" s="58">
        <f t="shared" ref="F69:H69" si="13">F60/F58*(-100)</f>
        <v>66.700061618761097</v>
      </c>
      <c r="G69" s="58">
        <f t="shared" si="13"/>
        <v>69.754363402734256</v>
      </c>
      <c r="H69" s="58">
        <f t="shared" si="13"/>
        <v>121.28157788084839</v>
      </c>
    </row>
    <row r="71" spans="2:8" x14ac:dyDescent="0.2">
      <c r="B71" s="61" t="s">
        <v>5</v>
      </c>
      <c r="C71" s="62"/>
      <c r="D71" s="62"/>
      <c r="E71" s="61" t="s">
        <v>7</v>
      </c>
      <c r="F71" s="61" t="s">
        <v>8</v>
      </c>
      <c r="G71" s="61" t="s">
        <v>9</v>
      </c>
      <c r="H71" s="61" t="s">
        <v>10</v>
      </c>
    </row>
    <row r="72" spans="2:8" ht="14.25" x14ac:dyDescent="0.2">
      <c r="B72" s="61" t="s">
        <v>64</v>
      </c>
      <c r="C72" s="63" t="s">
        <v>65</v>
      </c>
      <c r="D72" s="62"/>
      <c r="E72" s="61">
        <f>E4</f>
        <v>1778</v>
      </c>
      <c r="F72" s="61">
        <f t="shared" ref="F72:H72" si="14">F4</f>
        <v>1778</v>
      </c>
      <c r="G72" s="61">
        <f t="shared" si="14"/>
        <v>1778</v>
      </c>
      <c r="H72" s="61">
        <f t="shared" si="14"/>
        <v>1778</v>
      </c>
    </row>
    <row r="73" spans="2:8" ht="26.25" x14ac:dyDescent="0.2">
      <c r="B73" s="64" t="s">
        <v>66</v>
      </c>
      <c r="C73" s="63"/>
      <c r="D73" s="63"/>
      <c r="E73" s="63"/>
      <c r="F73" s="63"/>
      <c r="G73" s="63"/>
      <c r="H73" s="63"/>
    </row>
    <row r="74" spans="2:8" ht="14.25" x14ac:dyDescent="0.2">
      <c r="B74" s="63" t="s">
        <v>67</v>
      </c>
      <c r="C74" s="63" t="s">
        <v>68</v>
      </c>
      <c r="D74" s="63"/>
      <c r="E74" s="68">
        <f>E58/E4</f>
        <v>184.52587176602924</v>
      </c>
      <c r="F74" s="68">
        <f t="shared" ref="F74:H74" si="15">F58/F4</f>
        <v>387.92182227221599</v>
      </c>
      <c r="G74" s="68">
        <f t="shared" si="15"/>
        <v>519.55174353205848</v>
      </c>
      <c r="H74" s="68">
        <f t="shared" si="15"/>
        <v>374.69628796400451</v>
      </c>
    </row>
    <row r="75" spans="2:8" ht="14.25" x14ac:dyDescent="0.2">
      <c r="B75" s="63" t="s">
        <v>69</v>
      </c>
      <c r="C75" s="63" t="s">
        <v>68</v>
      </c>
      <c r="D75" s="63"/>
      <c r="E75" s="68">
        <f>E59/E4</f>
        <v>98.86276715410574</v>
      </c>
      <c r="F75" s="68">
        <f t="shared" ref="F75:H75" si="16">F59/F4</f>
        <v>129.17772778402698</v>
      </c>
      <c r="G75" s="68">
        <f t="shared" si="16"/>
        <v>157.14173228346456</v>
      </c>
      <c r="H75" s="68">
        <f t="shared" si="16"/>
        <v>-79.741282339707539</v>
      </c>
    </row>
    <row r="76" spans="2:8" ht="14.25" x14ac:dyDescent="0.2">
      <c r="B76" s="61" t="s">
        <v>70</v>
      </c>
      <c r="C76" s="63" t="s">
        <v>68</v>
      </c>
      <c r="D76" s="61"/>
      <c r="E76" s="69">
        <f>E75-E74</f>
        <v>-85.663104611923501</v>
      </c>
      <c r="F76" s="69">
        <f t="shared" ref="F76:H76" si="17">F75-F74</f>
        <v>-258.74409448818903</v>
      </c>
      <c r="G76" s="69">
        <f t="shared" si="17"/>
        <v>-362.41001124859395</v>
      </c>
      <c r="H76" s="69">
        <f t="shared" si="17"/>
        <v>-454.43757030371205</v>
      </c>
    </row>
    <row r="77" spans="2:8" x14ac:dyDescent="0.2">
      <c r="B77" s="63"/>
      <c r="C77" s="63"/>
      <c r="D77" s="63"/>
      <c r="E77" s="63"/>
      <c r="F77" s="63"/>
      <c r="G77" s="63"/>
      <c r="H77" s="67"/>
    </row>
    <row r="78" spans="2:8" ht="26.25" x14ac:dyDescent="0.2">
      <c r="B78" s="64" t="s">
        <v>71</v>
      </c>
      <c r="C78" s="63"/>
      <c r="D78" s="63"/>
      <c r="E78" s="63"/>
      <c r="F78" s="63"/>
      <c r="G78" s="63"/>
      <c r="H78" s="67"/>
    </row>
    <row r="79" spans="2:8" ht="14.25" x14ac:dyDescent="0.2">
      <c r="B79" s="61" t="s">
        <v>72</v>
      </c>
      <c r="C79" s="63" t="s">
        <v>68</v>
      </c>
      <c r="D79" s="61"/>
      <c r="E79" s="68">
        <f>E43</f>
        <v>380.38</v>
      </c>
      <c r="F79" s="68">
        <f t="shared" ref="F79:H79" si="18">F43</f>
        <v>599.16999999999996</v>
      </c>
      <c r="G79" s="68">
        <f t="shared" si="18"/>
        <v>740.74</v>
      </c>
      <c r="H79" s="68">
        <f t="shared" si="18"/>
        <v>584.87</v>
      </c>
    </row>
    <row r="80" spans="2:8" ht="14.25" x14ac:dyDescent="0.2">
      <c r="B80" s="61" t="s">
        <v>73</v>
      </c>
      <c r="C80" s="63" t="s">
        <v>68</v>
      </c>
      <c r="D80" s="63"/>
      <c r="E80" s="68">
        <f>$D43</f>
        <v>205.92</v>
      </c>
      <c r="F80" s="68">
        <f t="shared" ref="F80:H80" si="19">$D43</f>
        <v>205.92</v>
      </c>
      <c r="G80" s="68">
        <f t="shared" si="19"/>
        <v>205.92</v>
      </c>
      <c r="H80" s="68">
        <f t="shared" si="19"/>
        <v>205.92</v>
      </c>
    </row>
    <row r="81" spans="2:8" ht="14.25" x14ac:dyDescent="0.2">
      <c r="B81" s="61" t="s">
        <v>74</v>
      </c>
      <c r="C81" s="63" t="s">
        <v>68</v>
      </c>
      <c r="D81" s="61"/>
      <c r="E81" s="69">
        <f>E79-E80</f>
        <v>174.46</v>
      </c>
      <c r="F81" s="69">
        <f t="shared" ref="F81:H81" si="20">F79-F80</f>
        <v>393.25</v>
      </c>
      <c r="G81" s="69">
        <f t="shared" si="20"/>
        <v>534.82000000000005</v>
      </c>
      <c r="H81" s="69">
        <f t="shared" si="20"/>
        <v>378.95000000000005</v>
      </c>
    </row>
    <row r="82" spans="2:8" x14ac:dyDescent="0.2">
      <c r="B82" s="61" t="s">
        <v>75</v>
      </c>
      <c r="C82" s="63" t="s">
        <v>33</v>
      </c>
      <c r="D82" s="61"/>
      <c r="E82" s="70">
        <f>E58/(($D$15-E7)*E4*25)</f>
        <v>8.931552360407996E-2</v>
      </c>
      <c r="F82" s="70">
        <f t="shared" ref="F82:H82" si="21">F58/(($D$15-F7)*F4*25)</f>
        <v>0.14011985633816718</v>
      </c>
      <c r="G82" s="70">
        <f t="shared" si="21"/>
        <v>0.15412392273273759</v>
      </c>
      <c r="H82" s="70">
        <f t="shared" si="21"/>
        <v>0.12216416481157819</v>
      </c>
    </row>
    <row r="83" spans="2:8" x14ac:dyDescent="0.2">
      <c r="B83" s="71" t="s">
        <v>76</v>
      </c>
      <c r="C83" s="71" t="s">
        <v>77</v>
      </c>
      <c r="D83" s="72"/>
      <c r="E83" s="73">
        <f>E58/(($D$15-E7)*E4*0.182*25)*1000</f>
        <v>490.74463518725258</v>
      </c>
      <c r="F83" s="73">
        <f t="shared" ref="F83:H83" si="22">F58/(($D$15-F7)*F4*0.182*25)*1000</f>
        <v>769.88932053938015</v>
      </c>
      <c r="G83" s="73">
        <f t="shared" si="22"/>
        <v>846.83474028976707</v>
      </c>
      <c r="H83" s="73">
        <f t="shared" si="22"/>
        <v>671.23167478889127</v>
      </c>
    </row>
    <row r="84" spans="2:8" x14ac:dyDescent="0.2">
      <c r="B84" s="1" t="s">
        <v>117</v>
      </c>
      <c r="C84" s="1" t="s">
        <v>118</v>
      </c>
      <c r="E84" s="184">
        <v>646.38</v>
      </c>
      <c r="F84" s="184"/>
      <c r="G84" s="184"/>
      <c r="H84" s="184"/>
    </row>
    <row r="85" spans="2:8" x14ac:dyDescent="0.2">
      <c r="B85" s="162" t="s">
        <v>119</v>
      </c>
      <c r="E85" s="184">
        <f>E58/E84</f>
        <v>507.57603886258858</v>
      </c>
      <c r="F85" s="184"/>
      <c r="G85" s="184"/>
      <c r="H85" s="18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B76B3-158E-4157-AA6A-4A967282B6E9}">
  <dimension ref="A1:I91"/>
  <sheetViews>
    <sheetView workbookViewId="0">
      <selection activeCell="S35" sqref="S35"/>
    </sheetView>
  </sheetViews>
  <sheetFormatPr baseColWidth="10" defaultColWidth="8.7109375" defaultRowHeight="12" x14ac:dyDescent="0.2"/>
  <cols>
    <col min="1" max="1" width="8.7109375" style="1"/>
    <col min="2" max="2" width="44.85546875" style="1" customWidth="1"/>
    <col min="3" max="3" width="8.7109375" style="1"/>
    <col min="4" max="4" width="7.5703125" style="1" customWidth="1"/>
    <col min="5" max="5" width="8.140625" style="1" customWidth="1"/>
    <col min="6" max="6" width="9.140625" style="1" customWidth="1"/>
    <col min="7" max="8" width="8.85546875" style="1" customWidth="1"/>
    <col min="9" max="16384" width="8.7109375" style="1"/>
  </cols>
  <sheetData>
    <row r="1" spans="2:8" customFormat="1" ht="15.75" thickBot="1" x14ac:dyDescent="0.3">
      <c r="B1" s="2" t="s">
        <v>121</v>
      </c>
    </row>
    <row r="2" spans="2:8" ht="12.75" thickBot="1" x14ac:dyDescent="0.25">
      <c r="B2" s="5"/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7" t="s">
        <v>10</v>
      </c>
    </row>
    <row r="3" spans="2:8" x14ac:dyDescent="0.2">
      <c r="B3" s="79" t="s">
        <v>78</v>
      </c>
      <c r="C3" s="80" t="s">
        <v>12</v>
      </c>
      <c r="D3" s="80" t="s">
        <v>13</v>
      </c>
      <c r="E3" s="80" t="s">
        <v>13</v>
      </c>
      <c r="F3" s="80" t="s">
        <v>13</v>
      </c>
      <c r="G3" s="80" t="s">
        <v>13</v>
      </c>
      <c r="H3" s="81" t="s">
        <v>79</v>
      </c>
    </row>
    <row r="4" spans="2:8" x14ac:dyDescent="0.2">
      <c r="B4" s="82" t="s">
        <v>15</v>
      </c>
      <c r="C4" s="83" t="s">
        <v>80</v>
      </c>
      <c r="D4" s="83">
        <v>2297</v>
      </c>
      <c r="E4" s="83">
        <v>2297</v>
      </c>
      <c r="F4" s="83">
        <v>2297</v>
      </c>
      <c r="G4" s="83">
        <v>2297</v>
      </c>
      <c r="H4" s="84">
        <v>2297</v>
      </c>
    </row>
    <row r="5" spans="2:8" x14ac:dyDescent="0.2">
      <c r="B5" s="82" t="s">
        <v>17</v>
      </c>
      <c r="C5" s="83" t="s">
        <v>18</v>
      </c>
      <c r="D5" s="83">
        <v>1.18</v>
      </c>
      <c r="E5" s="83">
        <v>0.39</v>
      </c>
      <c r="F5" s="83">
        <v>0.27</v>
      </c>
      <c r="G5" s="83">
        <v>0.24</v>
      </c>
      <c r="H5" s="84">
        <v>0.32</v>
      </c>
    </row>
    <row r="6" spans="2:8" x14ac:dyDescent="0.2">
      <c r="B6" s="82" t="s">
        <v>19</v>
      </c>
      <c r="C6" s="83" t="s">
        <v>20</v>
      </c>
      <c r="D6" s="83">
        <v>174.7</v>
      </c>
      <c r="E6" s="83">
        <v>75</v>
      </c>
      <c r="F6" s="83">
        <v>55.1</v>
      </c>
      <c r="G6" s="83">
        <v>31.3</v>
      </c>
      <c r="H6" s="84">
        <v>60.4</v>
      </c>
    </row>
    <row r="7" spans="2:8" x14ac:dyDescent="0.2">
      <c r="B7" s="85" t="s">
        <v>21</v>
      </c>
      <c r="C7" s="86" t="s">
        <v>81</v>
      </c>
      <c r="D7" s="86">
        <v>161.6</v>
      </c>
      <c r="E7" s="86">
        <v>83</v>
      </c>
      <c r="F7" s="86">
        <v>61.1</v>
      </c>
      <c r="G7" s="86">
        <v>34.9</v>
      </c>
      <c r="H7" s="87">
        <f>H6/G6*G7*133/182</f>
        <v>49.215089702629633</v>
      </c>
    </row>
    <row r="8" spans="2:8" x14ac:dyDescent="0.2">
      <c r="B8" s="82" t="s">
        <v>82</v>
      </c>
      <c r="C8" s="83" t="s">
        <v>24</v>
      </c>
      <c r="D8" s="83">
        <v>36.4</v>
      </c>
      <c r="E8" s="83">
        <v>18.7</v>
      </c>
      <c r="F8" s="83">
        <v>13.8</v>
      </c>
      <c r="G8" s="83">
        <v>7.9</v>
      </c>
      <c r="H8" s="87">
        <f>H6/F6*F8*133/182</f>
        <v>11.054641909814324</v>
      </c>
    </row>
    <row r="9" spans="2:8" x14ac:dyDescent="0.2">
      <c r="B9" s="82" t="s">
        <v>83</v>
      </c>
      <c r="C9" s="83" t="s">
        <v>24</v>
      </c>
      <c r="D9" s="83">
        <v>36.4</v>
      </c>
      <c r="E9" s="83">
        <v>18.7</v>
      </c>
      <c r="F9" s="83">
        <v>13.8</v>
      </c>
      <c r="G9" s="83">
        <v>7.9</v>
      </c>
      <c r="H9" s="88">
        <f>F8*H6/F6</f>
        <v>15.127404718693285</v>
      </c>
    </row>
    <row r="10" spans="2:8" ht="14.25" x14ac:dyDescent="0.2">
      <c r="B10" s="89" t="s">
        <v>84</v>
      </c>
      <c r="C10" s="90" t="s">
        <v>85</v>
      </c>
      <c r="D10" s="83">
        <v>241</v>
      </c>
      <c r="E10" s="83">
        <v>294</v>
      </c>
      <c r="F10" s="83">
        <v>491</v>
      </c>
      <c r="G10" s="83">
        <v>596</v>
      </c>
      <c r="H10" s="84">
        <v>418</v>
      </c>
    </row>
    <row r="11" spans="2:8" x14ac:dyDescent="0.2">
      <c r="B11" s="89" t="s">
        <v>86</v>
      </c>
      <c r="C11" s="90"/>
      <c r="D11" s="91"/>
      <c r="E11" s="91">
        <v>0</v>
      </c>
      <c r="F11" s="91">
        <v>0</v>
      </c>
      <c r="G11" s="91">
        <v>0</v>
      </c>
      <c r="H11" s="84"/>
    </row>
    <row r="12" spans="2:8" x14ac:dyDescent="0.2">
      <c r="B12" s="89" t="s">
        <v>87</v>
      </c>
      <c r="C12" s="90" t="s">
        <v>88</v>
      </c>
      <c r="D12" s="90"/>
      <c r="E12" s="92">
        <v>5</v>
      </c>
      <c r="F12" s="92">
        <v>5</v>
      </c>
      <c r="G12" s="92">
        <v>5</v>
      </c>
      <c r="H12" s="93">
        <v>3</v>
      </c>
    </row>
    <row r="13" spans="2:8" x14ac:dyDescent="0.2">
      <c r="B13" s="94" t="s">
        <v>89</v>
      </c>
      <c r="C13" s="95" t="s">
        <v>88</v>
      </c>
      <c r="D13" s="95">
        <v>-20</v>
      </c>
      <c r="E13" s="96">
        <v>3</v>
      </c>
      <c r="F13" s="96">
        <v>10</v>
      </c>
      <c r="G13" s="96">
        <v>20</v>
      </c>
      <c r="H13" s="97">
        <v>30</v>
      </c>
    </row>
    <row r="14" spans="2:8" x14ac:dyDescent="0.2">
      <c r="B14" s="94" t="s">
        <v>90</v>
      </c>
      <c r="C14" s="95" t="s">
        <v>20</v>
      </c>
      <c r="D14" s="98">
        <f>D7*(1+D13/100)</f>
        <v>129.28</v>
      </c>
      <c r="E14" s="98">
        <f t="shared" ref="E14:H14" si="0">E7*(1+E13/100)</f>
        <v>85.490000000000009</v>
      </c>
      <c r="F14" s="98">
        <f t="shared" si="0"/>
        <v>67.210000000000008</v>
      </c>
      <c r="G14" s="98">
        <f t="shared" si="0"/>
        <v>41.879999999999995</v>
      </c>
      <c r="H14" s="87">
        <f t="shared" si="0"/>
        <v>63.979616613418528</v>
      </c>
    </row>
    <row r="15" spans="2:8" x14ac:dyDescent="0.2">
      <c r="B15" s="99"/>
      <c r="C15" s="100"/>
      <c r="D15" s="101"/>
      <c r="E15" s="101"/>
      <c r="F15" s="101"/>
      <c r="G15" s="101"/>
      <c r="H15" s="102"/>
    </row>
    <row r="16" spans="2:8" x14ac:dyDescent="0.2">
      <c r="B16" s="89" t="s">
        <v>25</v>
      </c>
      <c r="C16" s="83"/>
      <c r="D16" s="103">
        <v>183</v>
      </c>
      <c r="E16" s="103">
        <v>254</v>
      </c>
      <c r="F16" s="103">
        <v>418</v>
      </c>
      <c r="G16" s="103">
        <v>513</v>
      </c>
      <c r="H16" s="104">
        <v>362</v>
      </c>
    </row>
    <row r="17" spans="1:9" ht="14.25" x14ac:dyDescent="0.2">
      <c r="B17" s="105" t="s">
        <v>26</v>
      </c>
      <c r="C17" s="101" t="s">
        <v>27</v>
      </c>
      <c r="D17" s="103">
        <v>183</v>
      </c>
      <c r="E17" s="103">
        <v>254</v>
      </c>
      <c r="F17" s="103">
        <v>418</v>
      </c>
      <c r="G17" s="103">
        <v>513</v>
      </c>
      <c r="H17" s="104">
        <v>362</v>
      </c>
    </row>
    <row r="18" spans="1:9" x14ac:dyDescent="0.2">
      <c r="B18" s="105" t="s">
        <v>28</v>
      </c>
      <c r="C18" s="106" t="s">
        <v>29</v>
      </c>
      <c r="D18" s="107">
        <f>D20-D19</f>
        <v>0</v>
      </c>
      <c r="E18" s="107">
        <f t="shared" ref="E18:H18" si="1">E20-E19</f>
        <v>163087</v>
      </c>
      <c r="F18" s="107">
        <f t="shared" si="1"/>
        <v>539795</v>
      </c>
      <c r="G18" s="107">
        <f t="shared" si="1"/>
        <v>758010</v>
      </c>
      <c r="H18" s="108">
        <f t="shared" si="1"/>
        <v>411163</v>
      </c>
    </row>
    <row r="19" spans="1:9" x14ac:dyDescent="0.2">
      <c r="B19" s="105" t="s">
        <v>30</v>
      </c>
      <c r="C19" s="106" t="s">
        <v>29</v>
      </c>
      <c r="D19" s="109">
        <f>$D17*D4</f>
        <v>420351</v>
      </c>
      <c r="E19" s="109">
        <f t="shared" ref="E19:H19" si="2">$D17*E4</f>
        <v>420351</v>
      </c>
      <c r="F19" s="109">
        <f t="shared" si="2"/>
        <v>420351</v>
      </c>
      <c r="G19" s="109">
        <f>$D17*G4</f>
        <v>420351</v>
      </c>
      <c r="H19" s="110">
        <f t="shared" si="2"/>
        <v>420351</v>
      </c>
    </row>
    <row r="20" spans="1:9" x14ac:dyDescent="0.2">
      <c r="B20" s="105" t="s">
        <v>31</v>
      </c>
      <c r="C20" s="106" t="s">
        <v>29</v>
      </c>
      <c r="D20" s="109">
        <f>D17*D4</f>
        <v>420351</v>
      </c>
      <c r="E20" s="109">
        <f t="shared" ref="E20:H20" si="3">E17*E4</f>
        <v>583438</v>
      </c>
      <c r="F20" s="109">
        <f>F17*F4</f>
        <v>960146</v>
      </c>
      <c r="G20" s="109">
        <f>G17*G4</f>
        <v>1178361</v>
      </c>
      <c r="H20" s="110">
        <f t="shared" si="3"/>
        <v>831514</v>
      </c>
    </row>
    <row r="21" spans="1:9" x14ac:dyDescent="0.2">
      <c r="B21" s="105" t="s">
        <v>91</v>
      </c>
      <c r="C21" s="101" t="s">
        <v>33</v>
      </c>
      <c r="D21" s="106">
        <v>0.06</v>
      </c>
      <c r="E21" s="106">
        <v>0.06</v>
      </c>
      <c r="F21" s="106">
        <v>0.06</v>
      </c>
      <c r="G21" s="106">
        <v>0.06</v>
      </c>
      <c r="H21" s="111">
        <v>0.06</v>
      </c>
      <c r="I21" s="1" t="s">
        <v>92</v>
      </c>
    </row>
    <row r="22" spans="1:9" x14ac:dyDescent="0.2">
      <c r="A22" s="112" t="s">
        <v>93</v>
      </c>
      <c r="B22" s="113" t="s">
        <v>94</v>
      </c>
      <c r="C22" s="114" t="s">
        <v>33</v>
      </c>
      <c r="D22" s="115">
        <v>0.06</v>
      </c>
      <c r="E22" s="115">
        <v>0.06</v>
      </c>
      <c r="F22" s="115">
        <v>0.06</v>
      </c>
      <c r="G22" s="115">
        <v>0.06</v>
      </c>
      <c r="H22" s="116">
        <v>0.32</v>
      </c>
    </row>
    <row r="23" spans="1:9" x14ac:dyDescent="0.2">
      <c r="B23" s="105"/>
      <c r="C23" s="106"/>
      <c r="D23" s="106"/>
      <c r="E23" s="117"/>
      <c r="F23" s="117"/>
      <c r="G23" s="117"/>
      <c r="H23" s="118"/>
    </row>
    <row r="24" spans="1:9" x14ac:dyDescent="0.2">
      <c r="B24" s="105" t="s">
        <v>34</v>
      </c>
      <c r="C24" s="106" t="s">
        <v>29</v>
      </c>
      <c r="D24" s="106"/>
      <c r="E24" s="117">
        <v>135202</v>
      </c>
      <c r="F24" s="117">
        <v>516797</v>
      </c>
      <c r="G24" s="117">
        <v>710505</v>
      </c>
      <c r="H24" s="118">
        <v>402779</v>
      </c>
    </row>
    <row r="25" spans="1:9" x14ac:dyDescent="0.2">
      <c r="B25" s="105" t="s">
        <v>35</v>
      </c>
      <c r="C25" s="106" t="s">
        <v>29</v>
      </c>
      <c r="D25" s="106"/>
      <c r="E25" s="117">
        <v>190682</v>
      </c>
      <c r="F25" s="117">
        <v>243811</v>
      </c>
      <c r="G25" s="117">
        <v>307372</v>
      </c>
      <c r="H25" s="118">
        <v>-224646</v>
      </c>
    </row>
    <row r="26" spans="1:9" x14ac:dyDescent="0.2">
      <c r="B26" s="105" t="s">
        <v>36</v>
      </c>
      <c r="C26" s="106" t="s">
        <v>29</v>
      </c>
      <c r="D26" s="106"/>
      <c r="E26" s="117">
        <f>E25-E24</f>
        <v>55480</v>
      </c>
      <c r="F26" s="117">
        <f t="shared" ref="F26:H26" si="4">F25-F24</f>
        <v>-272986</v>
      </c>
      <c r="G26" s="117">
        <f t="shared" si="4"/>
        <v>-403133</v>
      </c>
      <c r="H26" s="119">
        <f t="shared" si="4"/>
        <v>-627425</v>
      </c>
    </row>
    <row r="27" spans="1:9" x14ac:dyDescent="0.2">
      <c r="B27" s="105" t="s">
        <v>37</v>
      </c>
      <c r="C27" s="106" t="s">
        <v>38</v>
      </c>
      <c r="D27" s="106"/>
      <c r="E27" s="120">
        <v>5.1999999999999998E-2</v>
      </c>
      <c r="F27" s="121">
        <v>0.122</v>
      </c>
      <c r="G27" s="121">
        <v>0.13900000000000001</v>
      </c>
      <c r="H27" s="122">
        <v>0.16200000000000001</v>
      </c>
    </row>
    <row r="28" spans="1:9" x14ac:dyDescent="0.2">
      <c r="B28" s="113" t="s">
        <v>95</v>
      </c>
      <c r="C28" s="115" t="s">
        <v>38</v>
      </c>
      <c r="D28" s="115"/>
      <c r="E28" s="123">
        <v>5.1999999999999998E-2</v>
      </c>
      <c r="F28" s="124">
        <v>0.122</v>
      </c>
      <c r="G28" s="124">
        <v>0.13900000000000001</v>
      </c>
      <c r="H28" s="125">
        <v>0</v>
      </c>
    </row>
    <row r="29" spans="1:9" x14ac:dyDescent="0.2">
      <c r="B29" s="22" t="s">
        <v>39</v>
      </c>
      <c r="C29" s="23" t="s">
        <v>40</v>
      </c>
      <c r="D29" s="115"/>
      <c r="E29" s="126">
        <v>283</v>
      </c>
      <c r="F29" s="127" t="s">
        <v>60</v>
      </c>
      <c r="G29" s="127" t="s">
        <v>61</v>
      </c>
      <c r="H29" s="128" t="s">
        <v>96</v>
      </c>
    </row>
    <row r="30" spans="1:9" x14ac:dyDescent="0.2">
      <c r="B30" s="22" t="s">
        <v>41</v>
      </c>
      <c r="C30" s="23" t="s">
        <v>40</v>
      </c>
      <c r="D30" s="115"/>
      <c r="E30" s="126">
        <v>181</v>
      </c>
      <c r="F30" s="127">
        <v>468</v>
      </c>
      <c r="G30" s="127">
        <v>521</v>
      </c>
      <c r="H30" s="128" t="s">
        <v>96</v>
      </c>
    </row>
    <row r="31" spans="1:9" x14ac:dyDescent="0.2">
      <c r="B31" s="105"/>
      <c r="C31" s="106"/>
      <c r="D31" s="106"/>
      <c r="E31" s="120"/>
      <c r="F31" s="121"/>
      <c r="G31" s="121"/>
      <c r="H31" s="122"/>
    </row>
    <row r="32" spans="1:9" x14ac:dyDescent="0.2">
      <c r="B32" s="105" t="s">
        <v>42</v>
      </c>
      <c r="C32" s="106" t="s">
        <v>29</v>
      </c>
      <c r="D32" s="106"/>
      <c r="E32" s="117">
        <v>182860</v>
      </c>
      <c r="F32" s="117">
        <v>516797</v>
      </c>
      <c r="G32" s="117">
        <v>710505</v>
      </c>
      <c r="H32" s="118">
        <v>410758</v>
      </c>
    </row>
    <row r="33" spans="2:8" x14ac:dyDescent="0.2">
      <c r="B33" s="105" t="s">
        <v>43</v>
      </c>
      <c r="C33" s="106" t="s">
        <v>29</v>
      </c>
      <c r="D33" s="106"/>
      <c r="E33" s="117">
        <v>106137</v>
      </c>
      <c r="F33" s="117">
        <v>150654</v>
      </c>
      <c r="G33" s="117">
        <v>212031</v>
      </c>
      <c r="H33" s="118">
        <v>-488512</v>
      </c>
    </row>
    <row r="34" spans="2:8" x14ac:dyDescent="0.2">
      <c r="B34" s="105" t="s">
        <v>44</v>
      </c>
      <c r="C34" s="106" t="s">
        <v>29</v>
      </c>
      <c r="D34" s="106"/>
      <c r="E34" s="117">
        <f>E33-E32</f>
        <v>-76723</v>
      </c>
      <c r="F34" s="117">
        <f t="shared" ref="F34:H34" si="5">F33-F32</f>
        <v>-366143</v>
      </c>
      <c r="G34" s="117">
        <f>G33-G32</f>
        <v>-498474</v>
      </c>
      <c r="H34" s="118">
        <f t="shared" si="5"/>
        <v>-899270</v>
      </c>
    </row>
    <row r="35" spans="2:8" x14ac:dyDescent="0.2">
      <c r="B35" s="105" t="s">
        <v>45</v>
      </c>
      <c r="C35" s="106" t="s">
        <v>38</v>
      </c>
      <c r="D35" s="106"/>
      <c r="E35" s="121">
        <v>9.6000000000000002E-2</v>
      </c>
      <c r="F35" s="121">
        <v>0.20599999999999999</v>
      </c>
      <c r="G35" s="121">
        <v>0.20200000000000001</v>
      </c>
      <c r="H35" s="122">
        <v>0.24</v>
      </c>
    </row>
    <row r="36" spans="2:8" x14ac:dyDescent="0.2">
      <c r="B36" s="113" t="s">
        <v>95</v>
      </c>
      <c r="C36" s="115" t="s">
        <v>38</v>
      </c>
      <c r="D36" s="115"/>
      <c r="E36" s="123">
        <v>9.6000000000000002E-2</v>
      </c>
      <c r="F36" s="124">
        <v>0.20599999999999999</v>
      </c>
      <c r="G36" s="124">
        <v>0.20200000000000001</v>
      </c>
      <c r="H36" s="125">
        <v>0</v>
      </c>
    </row>
    <row r="37" spans="2:8" x14ac:dyDescent="0.2">
      <c r="B37" s="22" t="s">
        <v>39</v>
      </c>
      <c r="C37" s="23" t="s">
        <v>40</v>
      </c>
      <c r="D37" s="106"/>
      <c r="E37" s="123" t="s">
        <v>60</v>
      </c>
      <c r="F37" s="129" t="s">
        <v>60</v>
      </c>
      <c r="G37" s="129" t="s">
        <v>60</v>
      </c>
      <c r="H37" s="130" t="s">
        <v>97</v>
      </c>
    </row>
    <row r="38" spans="2:8" x14ac:dyDescent="0.2">
      <c r="B38" s="22" t="s">
        <v>41</v>
      </c>
      <c r="C38" s="23" t="s">
        <v>40</v>
      </c>
      <c r="D38" s="106"/>
      <c r="E38" s="129">
        <v>325</v>
      </c>
      <c r="F38" s="129">
        <v>757</v>
      </c>
      <c r="G38" s="129">
        <v>756</v>
      </c>
      <c r="H38" s="130" t="s">
        <v>97</v>
      </c>
    </row>
    <row r="39" spans="2:8" x14ac:dyDescent="0.2">
      <c r="B39" s="105"/>
      <c r="C39" s="106"/>
      <c r="D39" s="106"/>
      <c r="E39" s="117"/>
      <c r="F39" s="117"/>
      <c r="G39" s="117"/>
      <c r="H39" s="118"/>
    </row>
    <row r="40" spans="2:8" x14ac:dyDescent="0.2">
      <c r="B40" s="105" t="s">
        <v>47</v>
      </c>
      <c r="C40" s="106" t="s">
        <v>48</v>
      </c>
      <c r="D40" s="131"/>
      <c r="E40" s="132"/>
      <c r="F40" s="133">
        <f>(F34-F26)/F26*100</f>
        <v>34.125193233352626</v>
      </c>
      <c r="G40" s="133">
        <f>(G34-G26)/G26*100</f>
        <v>23.650011286597724</v>
      </c>
      <c r="H40" s="134">
        <f>(H34-H26)/H26*100</f>
        <v>43.327090887357059</v>
      </c>
    </row>
    <row r="41" spans="2:8" x14ac:dyDescent="0.2">
      <c r="B41" s="99"/>
      <c r="C41" s="106"/>
      <c r="D41" s="131"/>
      <c r="E41" s="135"/>
      <c r="F41" s="135"/>
      <c r="G41" s="135"/>
      <c r="H41" s="136"/>
    </row>
    <row r="42" spans="2:8" x14ac:dyDescent="0.2">
      <c r="B42" s="89" t="s">
        <v>49</v>
      </c>
      <c r="C42" s="106"/>
      <c r="D42" s="131"/>
      <c r="E42" s="135"/>
      <c r="F42" s="135"/>
      <c r="G42" s="135"/>
      <c r="H42" s="136"/>
    </row>
    <row r="43" spans="2:8" ht="15" x14ac:dyDescent="0.25">
      <c r="B43" s="137" t="s">
        <v>50</v>
      </c>
      <c r="C43" s="138" t="s">
        <v>51</v>
      </c>
      <c r="D43" s="131">
        <f>1.43*D17</f>
        <v>261.69</v>
      </c>
      <c r="E43" s="131">
        <f t="shared" ref="E43:H43" si="6">1.43*E17</f>
        <v>363.21999999999997</v>
      </c>
      <c r="F43" s="131">
        <f t="shared" si="6"/>
        <v>597.74</v>
      </c>
      <c r="G43" s="131">
        <f t="shared" si="6"/>
        <v>733.58999999999992</v>
      </c>
      <c r="H43" s="131">
        <f t="shared" si="6"/>
        <v>517.66</v>
      </c>
    </row>
    <row r="44" spans="2:8" x14ac:dyDescent="0.2">
      <c r="B44" s="137" t="s">
        <v>52</v>
      </c>
      <c r="C44" s="131" t="s">
        <v>29</v>
      </c>
      <c r="D44" s="139">
        <f>D46-D45</f>
        <v>0</v>
      </c>
      <c r="E44" s="139">
        <f>E46-E45</f>
        <v>233214.40999999992</v>
      </c>
      <c r="F44" s="139">
        <f t="shared" ref="F44:H44" si="7">F46-F45</f>
        <v>771906.85</v>
      </c>
      <c r="G44" s="139">
        <f t="shared" si="7"/>
        <v>1083954.2999999998</v>
      </c>
      <c r="H44" s="140">
        <f t="shared" si="7"/>
        <v>587963.09</v>
      </c>
    </row>
    <row r="45" spans="2:8" x14ac:dyDescent="0.2">
      <c r="B45" s="137" t="s">
        <v>53</v>
      </c>
      <c r="C45" s="131" t="s">
        <v>29</v>
      </c>
      <c r="D45" s="139">
        <f>$D43*D4</f>
        <v>601101.93000000005</v>
      </c>
      <c r="E45" s="139">
        <f>$D43*E4</f>
        <v>601101.93000000005</v>
      </c>
      <c r="F45" s="139">
        <f>$D43*F4</f>
        <v>601101.93000000005</v>
      </c>
      <c r="G45" s="139">
        <f>$D43*G4</f>
        <v>601101.93000000005</v>
      </c>
      <c r="H45" s="140">
        <f>$D43*H4</f>
        <v>601101.93000000005</v>
      </c>
    </row>
    <row r="46" spans="2:8" x14ac:dyDescent="0.2">
      <c r="B46" s="137" t="s">
        <v>54</v>
      </c>
      <c r="C46" s="131" t="s">
        <v>29</v>
      </c>
      <c r="D46" s="139">
        <f>D43*D4</f>
        <v>601101.93000000005</v>
      </c>
      <c r="E46" s="139">
        <f>E43*E4</f>
        <v>834316.34</v>
      </c>
      <c r="F46" s="139">
        <f>F43*F4</f>
        <v>1373008.78</v>
      </c>
      <c r="G46" s="139">
        <f>G43*G4</f>
        <v>1685056.2299999997</v>
      </c>
      <c r="H46" s="140">
        <f>H43*H4</f>
        <v>1189065.02</v>
      </c>
    </row>
    <row r="47" spans="2:8" x14ac:dyDescent="0.2">
      <c r="B47" s="137" t="s">
        <v>98</v>
      </c>
      <c r="C47" s="131" t="s">
        <v>33</v>
      </c>
      <c r="D47" s="131">
        <v>0.09</v>
      </c>
      <c r="E47" s="131">
        <v>0.09</v>
      </c>
      <c r="F47" s="131">
        <v>0.09</v>
      </c>
      <c r="G47" s="131">
        <v>0.09</v>
      </c>
      <c r="H47" s="131">
        <v>0.09</v>
      </c>
    </row>
    <row r="48" spans="2:8" x14ac:dyDescent="0.2">
      <c r="B48" s="141" t="s">
        <v>99</v>
      </c>
      <c r="C48" s="142"/>
      <c r="D48" s="142">
        <v>0.09</v>
      </c>
      <c r="E48" s="142">
        <v>0.09</v>
      </c>
      <c r="F48" s="142">
        <v>0.09</v>
      </c>
      <c r="G48" s="142">
        <v>0.09</v>
      </c>
      <c r="H48" s="143">
        <v>0.33</v>
      </c>
    </row>
    <row r="49" spans="2:8" x14ac:dyDescent="0.2">
      <c r="B49" s="137"/>
      <c r="C49" s="131"/>
      <c r="D49" s="131"/>
      <c r="E49" s="135"/>
      <c r="F49" s="144"/>
      <c r="G49" s="135"/>
      <c r="H49" s="136"/>
    </row>
    <row r="50" spans="2:8" x14ac:dyDescent="0.2">
      <c r="B50" s="137" t="s">
        <v>56</v>
      </c>
      <c r="C50" s="131" t="s">
        <v>29</v>
      </c>
      <c r="D50" s="131"/>
      <c r="E50" s="135">
        <v>282165</v>
      </c>
      <c r="F50" s="135">
        <v>782942</v>
      </c>
      <c r="G50" s="135">
        <v>1072973</v>
      </c>
      <c r="H50" s="136">
        <v>611915</v>
      </c>
    </row>
    <row r="51" spans="2:8" x14ac:dyDescent="0.2">
      <c r="B51" s="137" t="s">
        <v>57</v>
      </c>
      <c r="C51" s="131" t="s">
        <v>29</v>
      </c>
      <c r="D51" s="106"/>
      <c r="E51" s="69">
        <v>223393</v>
      </c>
      <c r="F51" s="69">
        <v>268300</v>
      </c>
      <c r="G51" s="69">
        <v>360101</v>
      </c>
      <c r="H51" s="69">
        <v>-41684</v>
      </c>
    </row>
    <row r="52" spans="2:8" x14ac:dyDescent="0.2">
      <c r="B52" s="137" t="s">
        <v>58</v>
      </c>
      <c r="C52" s="131" t="s">
        <v>29</v>
      </c>
      <c r="D52" s="145"/>
      <c r="E52" s="146">
        <f>E51-E50</f>
        <v>-58772</v>
      </c>
      <c r="F52" s="146">
        <f t="shared" ref="F52:H52" si="8">F51-F50</f>
        <v>-514642</v>
      </c>
      <c r="G52" s="146">
        <f t="shared" si="8"/>
        <v>-712872</v>
      </c>
      <c r="H52" s="147">
        <f t="shared" si="8"/>
        <v>-653599</v>
      </c>
    </row>
    <row r="53" spans="2:8" x14ac:dyDescent="0.2">
      <c r="B53" s="137" t="s">
        <v>59</v>
      </c>
      <c r="C53" s="131" t="s">
        <v>38</v>
      </c>
      <c r="D53" s="145"/>
      <c r="E53" s="120">
        <v>0.115</v>
      </c>
      <c r="F53" s="83">
        <v>0.29699999999999999</v>
      </c>
      <c r="G53" s="148">
        <v>0.28000000000000003</v>
      </c>
      <c r="H53" s="149" t="s">
        <v>100</v>
      </c>
    </row>
    <row r="54" spans="2:8" x14ac:dyDescent="0.2">
      <c r="B54" s="113" t="s">
        <v>101</v>
      </c>
      <c r="C54" s="115" t="s">
        <v>38</v>
      </c>
      <c r="D54" s="115"/>
      <c r="E54" s="123">
        <v>0.115</v>
      </c>
      <c r="F54" s="124">
        <v>0.27100000000000002</v>
      </c>
      <c r="G54" s="124">
        <v>0.28000000000000003</v>
      </c>
      <c r="H54" s="125">
        <v>0</v>
      </c>
    </row>
    <row r="55" spans="2:8" x14ac:dyDescent="0.2">
      <c r="B55" s="22" t="s">
        <v>39</v>
      </c>
      <c r="C55" s="23" t="s">
        <v>40</v>
      </c>
      <c r="D55" s="115"/>
      <c r="E55" s="126">
        <v>805</v>
      </c>
      <c r="F55" s="127" t="s">
        <v>60</v>
      </c>
      <c r="G55" s="127" t="s">
        <v>60</v>
      </c>
      <c r="H55" s="128" t="s">
        <v>97</v>
      </c>
    </row>
    <row r="56" spans="2:8" x14ac:dyDescent="0.2">
      <c r="B56" s="22" t="s">
        <v>41</v>
      </c>
      <c r="C56" s="23" t="s">
        <v>40</v>
      </c>
      <c r="D56" s="115"/>
      <c r="E56" s="126">
        <v>163</v>
      </c>
      <c r="F56" s="127">
        <v>469</v>
      </c>
      <c r="G56" s="127">
        <v>496</v>
      </c>
      <c r="H56" s="128" t="s">
        <v>97</v>
      </c>
    </row>
    <row r="57" spans="2:8" x14ac:dyDescent="0.2">
      <c r="B57" s="105"/>
      <c r="C57" s="106"/>
      <c r="D57" s="145"/>
      <c r="E57" s="146"/>
      <c r="F57" s="146"/>
      <c r="G57" s="146"/>
      <c r="H57" s="147"/>
    </row>
    <row r="58" spans="2:8" x14ac:dyDescent="0.2">
      <c r="B58" s="150" t="s">
        <v>42</v>
      </c>
      <c r="C58" s="145" t="s">
        <v>29</v>
      </c>
      <c r="D58" s="151"/>
      <c r="E58" s="146">
        <v>282165</v>
      </c>
      <c r="F58" s="135">
        <v>782942</v>
      </c>
      <c r="G58" s="135">
        <v>1072973</v>
      </c>
      <c r="H58" s="136">
        <v>611915</v>
      </c>
    </row>
    <row r="59" spans="2:8" x14ac:dyDescent="0.2">
      <c r="B59" s="150" t="s">
        <v>43</v>
      </c>
      <c r="C59" s="145" t="s">
        <v>29</v>
      </c>
      <c r="D59" s="146"/>
      <c r="E59" s="146">
        <v>123633</v>
      </c>
      <c r="F59" s="117">
        <v>175645</v>
      </c>
      <c r="G59" s="146">
        <v>247551</v>
      </c>
      <c r="H59" s="147">
        <v>-285039</v>
      </c>
    </row>
    <row r="60" spans="2:8" x14ac:dyDescent="0.2">
      <c r="B60" s="150" t="s">
        <v>44</v>
      </c>
      <c r="C60" s="145" t="s">
        <v>29</v>
      </c>
      <c r="D60" s="146"/>
      <c r="E60" s="146">
        <f>E59-E58</f>
        <v>-158532</v>
      </c>
      <c r="F60" s="146">
        <f t="shared" ref="F60:H60" si="9">F59-F58</f>
        <v>-607297</v>
      </c>
      <c r="G60" s="146">
        <f t="shared" si="9"/>
        <v>-825422</v>
      </c>
      <c r="H60" s="147">
        <f t="shared" si="9"/>
        <v>-896954</v>
      </c>
    </row>
    <row r="61" spans="2:8" x14ac:dyDescent="0.2">
      <c r="B61" s="150" t="s">
        <v>45</v>
      </c>
      <c r="C61" s="145" t="s">
        <v>38</v>
      </c>
      <c r="D61" s="152"/>
      <c r="E61" s="120">
        <v>0.216</v>
      </c>
      <c r="F61" s="121">
        <v>0.4</v>
      </c>
      <c r="G61" s="121">
        <v>0.40899999999999997</v>
      </c>
      <c r="H61" s="122">
        <v>0.16</v>
      </c>
    </row>
    <row r="62" spans="2:8" x14ac:dyDescent="0.2">
      <c r="B62" s="113" t="s">
        <v>101</v>
      </c>
      <c r="C62" s="115" t="s">
        <v>38</v>
      </c>
      <c r="D62" s="115"/>
      <c r="E62" s="123">
        <v>0.216</v>
      </c>
      <c r="F62" s="124">
        <v>0.4</v>
      </c>
      <c r="G62" s="124">
        <v>0.40899999999999997</v>
      </c>
      <c r="H62" s="125">
        <v>0</v>
      </c>
    </row>
    <row r="63" spans="2:8" x14ac:dyDescent="0.2">
      <c r="B63" s="22" t="s">
        <v>39</v>
      </c>
      <c r="C63" s="23" t="s">
        <v>40</v>
      </c>
      <c r="D63" s="115"/>
      <c r="E63" s="126" t="s">
        <v>60</v>
      </c>
      <c r="F63" s="127" t="s">
        <v>60</v>
      </c>
      <c r="G63" s="127" t="s">
        <v>60</v>
      </c>
      <c r="H63" s="128" t="s">
        <v>97</v>
      </c>
    </row>
    <row r="64" spans="2:8" x14ac:dyDescent="0.2">
      <c r="B64" s="22" t="s">
        <v>41</v>
      </c>
      <c r="C64" s="23" t="s">
        <v>40</v>
      </c>
      <c r="D64" s="115"/>
      <c r="E64" s="126">
        <v>294</v>
      </c>
      <c r="F64" s="127">
        <v>684</v>
      </c>
      <c r="G64" s="127">
        <v>682</v>
      </c>
      <c r="H64" s="128" t="s">
        <v>97</v>
      </c>
    </row>
    <row r="65" spans="2:8" x14ac:dyDescent="0.2">
      <c r="B65" s="153"/>
      <c r="C65" s="101"/>
      <c r="D65" s="101"/>
      <c r="E65" s="83"/>
      <c r="F65" s="83"/>
      <c r="G65" s="83"/>
      <c r="H65" s="84"/>
    </row>
    <row r="66" spans="2:8" x14ac:dyDescent="0.2">
      <c r="B66" s="150" t="s">
        <v>47</v>
      </c>
      <c r="C66" s="145" t="s">
        <v>48</v>
      </c>
      <c r="D66" s="151"/>
      <c r="E66" s="154">
        <f>(E60-E52)/E52*100</f>
        <v>169.74069284693391</v>
      </c>
      <c r="F66" s="155">
        <f t="shared" ref="F66:H66" si="10">(F60-F52)/F52*100</f>
        <v>18.003777383112922</v>
      </c>
      <c r="G66" s="155">
        <f t="shared" si="10"/>
        <v>15.788248100640789</v>
      </c>
      <c r="H66" s="156">
        <f t="shared" si="10"/>
        <v>37.233074102010562</v>
      </c>
    </row>
    <row r="67" spans="2:8" ht="12.75" thickBot="1" x14ac:dyDescent="0.25">
      <c r="B67" s="157"/>
      <c r="C67" s="158"/>
      <c r="D67" s="159"/>
      <c r="E67" s="159"/>
      <c r="F67" s="160"/>
      <c r="G67" s="159"/>
      <c r="H67" s="161"/>
    </row>
    <row r="69" spans="2:8" x14ac:dyDescent="0.2">
      <c r="B69" s="15" t="s">
        <v>62</v>
      </c>
      <c r="C69" s="15"/>
      <c r="D69" s="58"/>
      <c r="E69" s="58">
        <f>E52/E50*(-100)</f>
        <v>20.828947601580637</v>
      </c>
      <c r="F69" s="58">
        <f t="shared" ref="F69:H69" si="11">F52/F50*(-100)</f>
        <v>65.731816660748819</v>
      </c>
      <c r="G69" s="58">
        <f t="shared" si="11"/>
        <v>66.438950467532734</v>
      </c>
      <c r="H69" s="58">
        <f t="shared" si="11"/>
        <v>106.81205723017086</v>
      </c>
    </row>
    <row r="70" spans="2:8" x14ac:dyDescent="0.2">
      <c r="B70" s="15" t="s">
        <v>63</v>
      </c>
      <c r="C70" s="15"/>
      <c r="D70" s="15"/>
      <c r="E70" s="58">
        <f>E60/E58*(-100)</f>
        <v>56.184147573228429</v>
      </c>
      <c r="F70" s="58">
        <f t="shared" ref="F70:H70" si="12">F60/F58*(-100)</f>
        <v>77.566026602225975</v>
      </c>
      <c r="G70" s="58">
        <f t="shared" si="12"/>
        <v>76.928496802808638</v>
      </c>
      <c r="H70" s="58">
        <f t="shared" si="12"/>
        <v>146.58146964856229</v>
      </c>
    </row>
    <row r="72" spans="2:8" x14ac:dyDescent="0.2">
      <c r="B72" s="61" t="s">
        <v>5</v>
      </c>
      <c r="C72" s="62"/>
      <c r="D72" s="62"/>
      <c r="E72" s="61" t="s">
        <v>7</v>
      </c>
      <c r="F72" s="61" t="s">
        <v>8</v>
      </c>
      <c r="G72" s="61" t="s">
        <v>9</v>
      </c>
      <c r="H72" s="61" t="s">
        <v>10</v>
      </c>
    </row>
    <row r="73" spans="2:8" ht="14.25" x14ac:dyDescent="0.2">
      <c r="B73" s="61" t="s">
        <v>64</v>
      </c>
      <c r="C73" s="63" t="s">
        <v>65</v>
      </c>
      <c r="D73" s="62"/>
      <c r="E73" s="61">
        <f>E4</f>
        <v>2297</v>
      </c>
      <c r="F73" s="61">
        <f t="shared" ref="F73:H73" si="13">F4</f>
        <v>2297</v>
      </c>
      <c r="G73" s="61">
        <f t="shared" si="13"/>
        <v>2297</v>
      </c>
      <c r="H73" s="61">
        <f t="shared" si="13"/>
        <v>2297</v>
      </c>
    </row>
    <row r="74" spans="2:8" ht="26.25" x14ac:dyDescent="0.2">
      <c r="B74" s="64" t="s">
        <v>66</v>
      </c>
      <c r="C74" s="63"/>
      <c r="D74" s="63"/>
      <c r="E74" s="63"/>
      <c r="F74" s="63"/>
      <c r="G74" s="63"/>
      <c r="H74" s="63"/>
    </row>
    <row r="75" spans="2:8" ht="14.25" x14ac:dyDescent="0.2">
      <c r="B75" s="63" t="s">
        <v>67</v>
      </c>
      <c r="C75" s="63" t="s">
        <v>68</v>
      </c>
      <c r="D75" s="63"/>
      <c r="E75" s="68">
        <f>E58/E4</f>
        <v>122.84066173269481</v>
      </c>
      <c r="F75" s="68">
        <f t="shared" ref="F75:H75" si="14">F58/F4</f>
        <v>340.85415759686549</v>
      </c>
      <c r="G75" s="68">
        <f t="shared" si="14"/>
        <v>467.11928602525035</v>
      </c>
      <c r="H75" s="68">
        <f t="shared" si="14"/>
        <v>266.39747496734873</v>
      </c>
    </row>
    <row r="76" spans="2:8" ht="14.25" x14ac:dyDescent="0.2">
      <c r="B76" s="63" t="s">
        <v>69</v>
      </c>
      <c r="C76" s="63" t="s">
        <v>68</v>
      </c>
      <c r="D76" s="63"/>
      <c r="E76" s="68">
        <f>E59/E4</f>
        <v>53.823683064867218</v>
      </c>
      <c r="F76" s="68">
        <f t="shared" ref="F76:H76" si="15">F59/F4</f>
        <v>76.467131040487587</v>
      </c>
      <c r="G76" s="68">
        <f t="shared" si="15"/>
        <v>107.77144101001306</v>
      </c>
      <c r="H76" s="68">
        <f t="shared" si="15"/>
        <v>-124.09185894645189</v>
      </c>
    </row>
    <row r="77" spans="2:8" ht="14.25" x14ac:dyDescent="0.2">
      <c r="B77" s="61" t="s">
        <v>70</v>
      </c>
      <c r="C77" s="63" t="s">
        <v>68</v>
      </c>
      <c r="D77" s="61"/>
      <c r="E77" s="69">
        <f>E76-E75</f>
        <v>-69.016978667827601</v>
      </c>
      <c r="F77" s="69">
        <f t="shared" ref="F77:H77" si="16">F76-F75</f>
        <v>-264.38702655637792</v>
      </c>
      <c r="G77" s="69">
        <f t="shared" si="16"/>
        <v>-359.34784501523728</v>
      </c>
      <c r="H77" s="69">
        <f t="shared" si="16"/>
        <v>-390.48933391380064</v>
      </c>
    </row>
    <row r="78" spans="2:8" x14ac:dyDescent="0.2">
      <c r="B78" s="162"/>
      <c r="C78" s="162"/>
      <c r="D78" s="162"/>
      <c r="E78" s="162"/>
      <c r="F78" s="162"/>
      <c r="G78" s="162"/>
      <c r="H78" s="163"/>
    </row>
    <row r="79" spans="2:8" ht="26.25" x14ac:dyDescent="0.2">
      <c r="B79" s="64" t="s">
        <v>71</v>
      </c>
      <c r="C79" s="63"/>
      <c r="D79" s="63"/>
      <c r="E79" s="63"/>
      <c r="F79" s="63"/>
      <c r="G79" s="63"/>
      <c r="H79" s="67"/>
    </row>
    <row r="80" spans="2:8" ht="14.25" x14ac:dyDescent="0.2">
      <c r="B80" s="61" t="s">
        <v>72</v>
      </c>
      <c r="C80" s="63" t="s">
        <v>68</v>
      </c>
      <c r="D80" s="61"/>
      <c r="E80" s="68">
        <f>E43</f>
        <v>363.21999999999997</v>
      </c>
      <c r="F80" s="68">
        <f>F43</f>
        <v>597.74</v>
      </c>
      <c r="G80" s="68">
        <f>G43</f>
        <v>733.58999999999992</v>
      </c>
      <c r="H80" s="68">
        <f>H43</f>
        <v>517.66</v>
      </c>
    </row>
    <row r="81" spans="2:8" ht="14.25" x14ac:dyDescent="0.2">
      <c r="B81" s="61" t="s">
        <v>73</v>
      </c>
      <c r="C81" s="63" t="s">
        <v>68</v>
      </c>
      <c r="D81" s="63"/>
      <c r="E81" s="68">
        <f>$D43</f>
        <v>261.69</v>
      </c>
      <c r="F81" s="68">
        <f>$D43</f>
        <v>261.69</v>
      </c>
      <c r="G81" s="68">
        <f>$D43</f>
        <v>261.69</v>
      </c>
      <c r="H81" s="68">
        <f>$D43</f>
        <v>261.69</v>
      </c>
    </row>
    <row r="82" spans="2:8" ht="14.25" x14ac:dyDescent="0.2">
      <c r="B82" s="61" t="s">
        <v>74</v>
      </c>
      <c r="C82" s="63" t="s">
        <v>68</v>
      </c>
      <c r="D82" s="61"/>
      <c r="E82" s="69">
        <f>E80-E81</f>
        <v>101.52999999999997</v>
      </c>
      <c r="F82" s="69">
        <f t="shared" ref="F82:H82" si="17">F80-F81</f>
        <v>336.05</v>
      </c>
      <c r="G82" s="69">
        <f t="shared" si="17"/>
        <v>471.89999999999992</v>
      </c>
      <c r="H82" s="69">
        <f t="shared" si="17"/>
        <v>255.96999999999997</v>
      </c>
    </row>
    <row r="83" spans="2:8" x14ac:dyDescent="0.2">
      <c r="B83" s="61" t="s">
        <v>75</v>
      </c>
      <c r="C83" s="63" t="s">
        <v>33</v>
      </c>
      <c r="D83" s="61"/>
      <c r="E83" s="70">
        <f>E58/(($D$14-E14)*E4*25)</f>
        <v>0.11220887118766371</v>
      </c>
      <c r="F83" s="70">
        <f>F58/(($D$14-F14)*F4*25)</f>
        <v>0.21965790726397005</v>
      </c>
      <c r="G83" s="70">
        <f>G58/(($D$14-G14)*G4*25)</f>
        <v>0.21378457026327247</v>
      </c>
      <c r="H83" s="70">
        <f>H58/(($D$14-H14)*H4*25)</f>
        <v>0.16318279382236553</v>
      </c>
    </row>
    <row r="84" spans="2:8" x14ac:dyDescent="0.2">
      <c r="B84" s="71" t="s">
        <v>76</v>
      </c>
      <c r="C84" s="71" t="s">
        <v>77</v>
      </c>
      <c r="D84" s="72"/>
      <c r="E84" s="73">
        <f>E58/(($D$14-E14)*0.182*E4*25)*1000</f>
        <v>616.53225927287747</v>
      </c>
      <c r="F84" s="73">
        <f t="shared" ref="F84:H84" si="18">F58/(($D$14-F14)*0.182*F4*25)*1000</f>
        <v>1206.9115783734619</v>
      </c>
      <c r="G84" s="73">
        <f t="shared" si="18"/>
        <v>1174.6404959520464</v>
      </c>
      <c r="H84" s="73">
        <f t="shared" si="18"/>
        <v>896.60875726574477</v>
      </c>
    </row>
    <row r="88" spans="2:8" ht="12.75" x14ac:dyDescent="0.2">
      <c r="B88" s="164" t="s">
        <v>102</v>
      </c>
      <c r="C88" s="164"/>
      <c r="D88" s="164" t="s">
        <v>6</v>
      </c>
      <c r="E88" s="164" t="s">
        <v>7</v>
      </c>
      <c r="F88" s="164" t="s">
        <v>8</v>
      </c>
      <c r="G88" s="164" t="s">
        <v>9</v>
      </c>
      <c r="H88" s="164" t="s">
        <v>10</v>
      </c>
    </row>
    <row r="89" spans="2:8" s="3" customFormat="1" ht="38.25" x14ac:dyDescent="0.2">
      <c r="B89" s="165" t="s">
        <v>103</v>
      </c>
      <c r="C89" s="165" t="s">
        <v>104</v>
      </c>
      <c r="D89" s="165" t="s">
        <v>105</v>
      </c>
      <c r="E89" s="165">
        <v>70</v>
      </c>
      <c r="F89" s="165">
        <v>50</v>
      </c>
      <c r="G89" s="165">
        <v>35</v>
      </c>
      <c r="H89" s="165">
        <v>27.5</v>
      </c>
    </row>
    <row r="90" spans="2:8" ht="12.75" x14ac:dyDescent="0.2">
      <c r="B90" s="166" t="s">
        <v>89</v>
      </c>
      <c r="C90" s="166" t="s">
        <v>88</v>
      </c>
      <c r="D90" s="166">
        <v>-20</v>
      </c>
      <c r="E90" s="167">
        <v>3</v>
      </c>
      <c r="F90" s="167">
        <v>10</v>
      </c>
      <c r="G90" s="167">
        <v>20</v>
      </c>
      <c r="H90" s="167">
        <v>30</v>
      </c>
    </row>
    <row r="91" spans="2:8" ht="38.25" x14ac:dyDescent="0.2">
      <c r="B91" s="168" t="s">
        <v>106</v>
      </c>
      <c r="C91" s="165" t="s">
        <v>104</v>
      </c>
      <c r="D91" s="165" t="s">
        <v>107</v>
      </c>
      <c r="E91" s="168">
        <f>E89*(1+E90/100)</f>
        <v>72.100000000000009</v>
      </c>
      <c r="F91" s="168">
        <f t="shared" ref="F91:H91" si="19">F89*(1+F90/100)</f>
        <v>55.000000000000007</v>
      </c>
      <c r="G91" s="168">
        <f t="shared" si="19"/>
        <v>42</v>
      </c>
      <c r="H91" s="168">
        <f t="shared" si="19"/>
        <v>35.75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8878-FD68-4B56-AEE4-183F559886E1}">
  <dimension ref="B1:G65"/>
  <sheetViews>
    <sheetView workbookViewId="0">
      <selection activeCell="A2" sqref="A2"/>
    </sheetView>
  </sheetViews>
  <sheetFormatPr baseColWidth="10" defaultColWidth="8.7109375" defaultRowHeight="12" x14ac:dyDescent="0.2"/>
  <cols>
    <col min="1" max="1" width="8.7109375" style="1"/>
    <col min="2" max="2" width="47.42578125" style="1" customWidth="1"/>
    <col min="3" max="16384" width="8.7109375" style="1"/>
  </cols>
  <sheetData>
    <row r="1" spans="2:7" ht="12.75" thickBot="1" x14ac:dyDescent="0.25">
      <c r="B1" s="185" t="s">
        <v>147</v>
      </c>
    </row>
    <row r="2" spans="2:7" ht="12.75" thickBot="1" x14ac:dyDescent="0.25">
      <c r="B2" s="5"/>
      <c r="C2" s="6" t="s">
        <v>5</v>
      </c>
      <c r="D2" s="6" t="s">
        <v>6</v>
      </c>
      <c r="E2" s="6" t="s">
        <v>122</v>
      </c>
      <c r="F2" s="6" t="s">
        <v>123</v>
      </c>
      <c r="G2" s="7" t="s">
        <v>124</v>
      </c>
    </row>
    <row r="3" spans="2:7" x14ac:dyDescent="0.2">
      <c r="B3" s="8" t="s">
        <v>125</v>
      </c>
      <c r="C3" s="9" t="s">
        <v>12</v>
      </c>
      <c r="D3" s="9"/>
      <c r="E3" s="9"/>
      <c r="F3" s="9"/>
      <c r="G3" s="10"/>
    </row>
    <row r="4" spans="2:7" x14ac:dyDescent="0.2">
      <c r="B4" s="11" t="s">
        <v>15</v>
      </c>
      <c r="C4" s="12" t="s">
        <v>80</v>
      </c>
      <c r="D4" s="12">
        <v>275</v>
      </c>
      <c r="E4" s="12">
        <v>275</v>
      </c>
      <c r="F4" s="12">
        <v>275</v>
      </c>
      <c r="G4" s="13">
        <v>275</v>
      </c>
    </row>
    <row r="5" spans="2:7" x14ac:dyDescent="0.2">
      <c r="B5" s="14" t="s">
        <v>126</v>
      </c>
      <c r="C5" s="15"/>
      <c r="D5" s="15" t="s">
        <v>127</v>
      </c>
      <c r="E5" s="15"/>
      <c r="F5" s="15"/>
      <c r="G5" s="16"/>
    </row>
    <row r="6" spans="2:7" x14ac:dyDescent="0.2">
      <c r="B6" s="14" t="s">
        <v>128</v>
      </c>
      <c r="C6" s="15" t="s">
        <v>129</v>
      </c>
      <c r="D6" s="15"/>
      <c r="E6" s="15">
        <v>18</v>
      </c>
      <c r="F6" s="15">
        <v>18</v>
      </c>
      <c r="G6" s="16">
        <v>20</v>
      </c>
    </row>
    <row r="7" spans="2:7" x14ac:dyDescent="0.2">
      <c r="B7" s="11" t="s">
        <v>130</v>
      </c>
      <c r="C7" s="12" t="s">
        <v>81</v>
      </c>
      <c r="D7" s="12">
        <v>250</v>
      </c>
      <c r="E7" s="12">
        <v>42.5</v>
      </c>
      <c r="F7" s="12">
        <v>35</v>
      </c>
      <c r="G7" s="13">
        <v>27.5</v>
      </c>
    </row>
    <row r="8" spans="2:7" x14ac:dyDescent="0.2">
      <c r="B8" s="14" t="s">
        <v>83</v>
      </c>
      <c r="C8" s="15" t="s">
        <v>24</v>
      </c>
      <c r="D8" s="58">
        <f>0.182*D7</f>
        <v>45.5</v>
      </c>
      <c r="E8" s="58">
        <f>0.182*E7</f>
        <v>7.7349999999999994</v>
      </c>
      <c r="F8" s="58">
        <f>0.182*F7</f>
        <v>6.37</v>
      </c>
      <c r="G8" s="186">
        <f>0.182*G7</f>
        <v>5.0049999999999999</v>
      </c>
    </row>
    <row r="9" spans="2:7" x14ac:dyDescent="0.2">
      <c r="B9" s="11" t="s">
        <v>131</v>
      </c>
      <c r="C9" s="12" t="s">
        <v>113</v>
      </c>
      <c r="D9" s="12">
        <v>0</v>
      </c>
      <c r="E9" s="12">
        <v>318</v>
      </c>
      <c r="F9" s="12">
        <v>333</v>
      </c>
      <c r="G9" s="13">
        <v>412</v>
      </c>
    </row>
    <row r="10" spans="2:7" x14ac:dyDescent="0.2">
      <c r="B10" s="21" t="s">
        <v>132</v>
      </c>
      <c r="C10" s="12" t="s">
        <v>113</v>
      </c>
      <c r="D10" s="187">
        <v>315</v>
      </c>
      <c r="E10" s="187">
        <v>315</v>
      </c>
      <c r="F10" s="187">
        <v>315</v>
      </c>
      <c r="G10" s="187">
        <v>315</v>
      </c>
    </row>
    <row r="11" spans="2:7" x14ac:dyDescent="0.2">
      <c r="B11" s="21" t="s">
        <v>133</v>
      </c>
      <c r="C11" s="12" t="s">
        <v>113</v>
      </c>
      <c r="D11" s="187">
        <f>D9+D10</f>
        <v>315</v>
      </c>
      <c r="E11" s="187">
        <f t="shared" ref="E11:G11" si="0">E9+E10</f>
        <v>633</v>
      </c>
      <c r="F11" s="187">
        <f t="shared" si="0"/>
        <v>648</v>
      </c>
      <c r="G11" s="187">
        <f t="shared" si="0"/>
        <v>727</v>
      </c>
    </row>
    <row r="12" spans="2:7" ht="12.75" thickBot="1" x14ac:dyDescent="0.25">
      <c r="B12" s="188" t="s">
        <v>134</v>
      </c>
      <c r="C12" s="189" t="s">
        <v>77</v>
      </c>
      <c r="D12" s="189"/>
      <c r="E12" s="190">
        <f>(E9-D9)/(D8-E8)*1000/25</f>
        <v>336.81980669932477</v>
      </c>
      <c r="F12" s="190">
        <f>(F9-E9)/(E8-F8)*1000/25</f>
        <v>439.56043956043976</v>
      </c>
      <c r="G12" s="191">
        <f>(G9-F9)/(F8-G8)*1000/25</f>
        <v>2315.0183150183148</v>
      </c>
    </row>
    <row r="13" spans="2:7" x14ac:dyDescent="0.2">
      <c r="B13" s="192" t="s">
        <v>135</v>
      </c>
      <c r="C13" s="193" t="s">
        <v>88</v>
      </c>
      <c r="D13" s="194">
        <v>-34</v>
      </c>
      <c r="E13" s="194">
        <v>10</v>
      </c>
      <c r="F13" s="194">
        <v>15</v>
      </c>
      <c r="G13" s="195">
        <v>20</v>
      </c>
    </row>
    <row r="14" spans="2:7" x14ac:dyDescent="0.2">
      <c r="B14" s="11" t="s">
        <v>136</v>
      </c>
      <c r="C14" s="12" t="s">
        <v>81</v>
      </c>
      <c r="D14" s="196">
        <f>D7*(1+D13/100)</f>
        <v>164.99999999999997</v>
      </c>
      <c r="E14" s="196">
        <f t="shared" ref="E14:G14" si="1">E7*(1+E13/100)</f>
        <v>46.750000000000007</v>
      </c>
      <c r="F14" s="196">
        <f t="shared" si="1"/>
        <v>40.25</v>
      </c>
      <c r="G14" s="197">
        <f t="shared" si="1"/>
        <v>33</v>
      </c>
    </row>
    <row r="15" spans="2:7" x14ac:dyDescent="0.2">
      <c r="B15" s="14"/>
      <c r="C15" s="15"/>
      <c r="D15" s="58"/>
      <c r="E15" s="58"/>
      <c r="F15" s="58"/>
      <c r="G15" s="186"/>
    </row>
    <row r="16" spans="2:7" x14ac:dyDescent="0.2">
      <c r="B16" s="11" t="s">
        <v>137</v>
      </c>
      <c r="C16" s="15"/>
      <c r="D16" s="58"/>
      <c r="E16" s="58"/>
      <c r="F16" s="58"/>
      <c r="G16" s="186"/>
    </row>
    <row r="17" spans="2:7" ht="14.25" x14ac:dyDescent="0.2">
      <c r="B17" s="14" t="s">
        <v>138</v>
      </c>
      <c r="C17" s="15" t="s">
        <v>68</v>
      </c>
      <c r="D17" s="198">
        <v>0</v>
      </c>
      <c r="E17" s="198">
        <v>318</v>
      </c>
      <c r="F17" s="198">
        <v>333</v>
      </c>
      <c r="G17" s="199">
        <v>412</v>
      </c>
    </row>
    <row r="18" spans="2:7" x14ac:dyDescent="0.2">
      <c r="B18" s="14" t="s">
        <v>28</v>
      </c>
      <c r="C18" s="15" t="s">
        <v>29</v>
      </c>
      <c r="D18" s="198"/>
      <c r="E18" s="198">
        <f>E9*E4</f>
        <v>87450</v>
      </c>
      <c r="F18" s="198">
        <f t="shared" ref="F18:G18" si="2">F9*F4</f>
        <v>91575</v>
      </c>
      <c r="G18" s="198">
        <f t="shared" si="2"/>
        <v>113300</v>
      </c>
    </row>
    <row r="19" spans="2:7" x14ac:dyDescent="0.2">
      <c r="B19" s="14" t="s">
        <v>30</v>
      </c>
      <c r="C19" s="15" t="s">
        <v>29</v>
      </c>
      <c r="D19" s="198">
        <f>D10*D4</f>
        <v>86625</v>
      </c>
      <c r="E19" s="198">
        <f t="shared" ref="E19:G19" si="3">E10*E4</f>
        <v>86625</v>
      </c>
      <c r="F19" s="198">
        <f t="shared" si="3"/>
        <v>86625</v>
      </c>
      <c r="G19" s="198">
        <f t="shared" si="3"/>
        <v>86625</v>
      </c>
    </row>
    <row r="20" spans="2:7" x14ac:dyDescent="0.2">
      <c r="B20" s="14" t="s">
        <v>31</v>
      </c>
      <c r="C20" s="15" t="s">
        <v>29</v>
      </c>
      <c r="D20" s="198"/>
      <c r="E20" s="198">
        <f>E19+E18</f>
        <v>174075</v>
      </c>
      <c r="F20" s="198">
        <f t="shared" ref="F20" si="4">F19+F18</f>
        <v>178200</v>
      </c>
      <c r="G20" s="198">
        <f>G19+G18</f>
        <v>199925</v>
      </c>
    </row>
    <row r="21" spans="2:7" x14ac:dyDescent="0.2">
      <c r="B21" s="14" t="s">
        <v>32</v>
      </c>
      <c r="C21" s="15" t="s">
        <v>33</v>
      </c>
      <c r="D21" s="200"/>
      <c r="E21" s="200">
        <v>0.06</v>
      </c>
      <c r="F21" s="200">
        <v>0.06</v>
      </c>
      <c r="G21" s="201">
        <v>0.06</v>
      </c>
    </row>
    <row r="22" spans="2:7" x14ac:dyDescent="0.2">
      <c r="B22" s="14"/>
      <c r="C22" s="15"/>
      <c r="D22" s="58"/>
      <c r="E22" s="58"/>
      <c r="F22" s="58"/>
      <c r="G22" s="186"/>
    </row>
    <row r="23" spans="2:7" x14ac:dyDescent="0.2">
      <c r="B23" s="14" t="s">
        <v>139</v>
      </c>
      <c r="C23" s="15" t="s">
        <v>29</v>
      </c>
      <c r="D23" s="198"/>
      <c r="E23" s="198">
        <v>85430</v>
      </c>
      <c r="F23" s="198">
        <v>89089</v>
      </c>
      <c r="G23" s="199">
        <v>108423</v>
      </c>
    </row>
    <row r="24" spans="2:7" x14ac:dyDescent="0.2">
      <c r="B24" s="14" t="s">
        <v>35</v>
      </c>
      <c r="C24" s="15" t="s">
        <v>29</v>
      </c>
      <c r="D24" s="198"/>
      <c r="E24" s="198">
        <v>60267</v>
      </c>
      <c r="F24" s="198">
        <v>62445</v>
      </c>
      <c r="G24" s="199">
        <v>64623</v>
      </c>
    </row>
    <row r="25" spans="2:7" x14ac:dyDescent="0.2">
      <c r="B25" s="202" t="s">
        <v>36</v>
      </c>
      <c r="C25" s="203" t="s">
        <v>29</v>
      </c>
      <c r="D25" s="204"/>
      <c r="E25" s="178">
        <f>E24-E23</f>
        <v>-25163</v>
      </c>
      <c r="F25" s="178">
        <f t="shared" ref="F25:G25" si="5">F24-F23</f>
        <v>-26644</v>
      </c>
      <c r="G25" s="205">
        <f t="shared" si="5"/>
        <v>-43800</v>
      </c>
    </row>
    <row r="26" spans="2:7" x14ac:dyDescent="0.2">
      <c r="B26" s="206" t="s">
        <v>37</v>
      </c>
      <c r="C26" s="207" t="s">
        <v>38</v>
      </c>
      <c r="D26" s="208"/>
      <c r="E26" s="209">
        <v>8.5999999999999993E-2</v>
      </c>
      <c r="F26" s="209">
        <v>8.5999999999999993E-2</v>
      </c>
      <c r="G26" s="210">
        <v>0.10100000000000001</v>
      </c>
    </row>
    <row r="27" spans="2:7" x14ac:dyDescent="0.2">
      <c r="B27" s="14" t="s">
        <v>140</v>
      </c>
      <c r="C27" s="15"/>
      <c r="D27" s="58"/>
      <c r="E27" s="211">
        <v>552</v>
      </c>
      <c r="F27" s="211">
        <v>560</v>
      </c>
      <c r="G27" s="212">
        <v>868</v>
      </c>
    </row>
    <row r="28" spans="2:7" x14ac:dyDescent="0.2">
      <c r="B28" s="14" t="s">
        <v>141</v>
      </c>
      <c r="C28" s="15"/>
      <c r="D28" s="58"/>
      <c r="E28" s="211">
        <v>307</v>
      </c>
      <c r="F28" s="211">
        <v>310</v>
      </c>
      <c r="G28" s="212">
        <v>371</v>
      </c>
    </row>
    <row r="29" spans="2:7" x14ac:dyDescent="0.2">
      <c r="B29" s="14"/>
      <c r="C29" s="15"/>
      <c r="D29" s="58"/>
      <c r="E29" s="58"/>
      <c r="F29" s="58"/>
      <c r="G29" s="186"/>
    </row>
    <row r="30" spans="2:7" x14ac:dyDescent="0.2">
      <c r="B30" s="14" t="s">
        <v>142</v>
      </c>
      <c r="C30" s="15" t="s">
        <v>29</v>
      </c>
      <c r="D30" s="213"/>
      <c r="E30" s="198">
        <v>85428</v>
      </c>
      <c r="F30" s="198">
        <v>89089</v>
      </c>
      <c r="G30" s="199">
        <v>108423</v>
      </c>
    </row>
    <row r="31" spans="2:7" x14ac:dyDescent="0.2">
      <c r="B31" s="14" t="s">
        <v>43</v>
      </c>
      <c r="C31" s="15" t="s">
        <v>29</v>
      </c>
      <c r="D31" s="213"/>
      <c r="E31" s="198">
        <v>34330</v>
      </c>
      <c r="F31" s="198">
        <v>36218</v>
      </c>
      <c r="G31" s="199">
        <v>38338</v>
      </c>
    </row>
    <row r="32" spans="2:7" x14ac:dyDescent="0.2">
      <c r="B32" s="202" t="s">
        <v>44</v>
      </c>
      <c r="C32" s="203" t="s">
        <v>29</v>
      </c>
      <c r="D32" s="214"/>
      <c r="E32" s="178">
        <f>E31-E30</f>
        <v>-51098</v>
      </c>
      <c r="F32" s="178">
        <f t="shared" ref="F32:G32" si="6">F31-F30</f>
        <v>-52871</v>
      </c>
      <c r="G32" s="205">
        <f t="shared" si="6"/>
        <v>-70085</v>
      </c>
    </row>
    <row r="33" spans="2:7" x14ac:dyDescent="0.2">
      <c r="B33" s="206" t="s">
        <v>45</v>
      </c>
      <c r="C33" s="207" t="s">
        <v>38</v>
      </c>
      <c r="D33" s="208"/>
      <c r="E33" s="209">
        <v>0.151</v>
      </c>
      <c r="F33" s="209">
        <v>0.14799999999999999</v>
      </c>
      <c r="G33" s="210">
        <v>0.17</v>
      </c>
    </row>
    <row r="34" spans="2:7" x14ac:dyDescent="0.2">
      <c r="B34" s="14" t="s">
        <v>140</v>
      </c>
      <c r="C34" s="207"/>
      <c r="D34" s="208"/>
      <c r="E34" s="211" t="s">
        <v>60</v>
      </c>
      <c r="F34" s="212" t="s">
        <v>60</v>
      </c>
      <c r="G34" s="212" t="s">
        <v>60</v>
      </c>
    </row>
    <row r="35" spans="2:7" x14ac:dyDescent="0.2">
      <c r="B35" s="14" t="s">
        <v>141</v>
      </c>
      <c r="C35" s="207"/>
      <c r="D35" s="208"/>
      <c r="E35" s="211">
        <v>539</v>
      </c>
      <c r="F35" s="211">
        <v>535</v>
      </c>
      <c r="G35" s="212">
        <v>625</v>
      </c>
    </row>
    <row r="36" spans="2:7" x14ac:dyDescent="0.2">
      <c r="B36" s="14"/>
      <c r="C36" s="15"/>
      <c r="D36" s="58"/>
      <c r="E36" s="58"/>
      <c r="F36" s="58"/>
      <c r="G36" s="186"/>
    </row>
    <row r="37" spans="2:7" x14ac:dyDescent="0.2">
      <c r="B37" s="14" t="s">
        <v>47</v>
      </c>
      <c r="C37" s="15" t="s">
        <v>48</v>
      </c>
      <c r="D37" s="58"/>
      <c r="E37" s="196">
        <f>(E32-E25)/E25*100</f>
        <v>103.06799666176529</v>
      </c>
      <c r="F37" s="196">
        <f t="shared" ref="F37:G37" si="7">(F32-F25)/F25*100</f>
        <v>98.434919681729468</v>
      </c>
      <c r="G37" s="197">
        <f t="shared" si="7"/>
        <v>60.011415525114153</v>
      </c>
    </row>
    <row r="38" spans="2:7" x14ac:dyDescent="0.2">
      <c r="B38" s="14"/>
      <c r="C38" s="15"/>
      <c r="D38" s="58"/>
      <c r="E38" s="196"/>
      <c r="F38" s="196"/>
      <c r="G38" s="197"/>
    </row>
    <row r="39" spans="2:7" x14ac:dyDescent="0.2">
      <c r="B39" s="11" t="s">
        <v>49</v>
      </c>
      <c r="C39" s="15"/>
      <c r="D39" s="58"/>
      <c r="E39" s="196"/>
      <c r="F39" s="196"/>
      <c r="G39" s="197"/>
    </row>
    <row r="40" spans="2:7" x14ac:dyDescent="0.2">
      <c r="B40" s="14" t="s">
        <v>143</v>
      </c>
      <c r="C40" s="15" t="s">
        <v>113</v>
      </c>
      <c r="D40" s="198"/>
      <c r="E40" s="198">
        <f>1.34*E17</f>
        <v>426.12</v>
      </c>
      <c r="F40" s="198">
        <f t="shared" ref="F40:G40" si="8">1.34*F17</f>
        <v>446.22</v>
      </c>
      <c r="G40" s="198">
        <f t="shared" si="8"/>
        <v>552.08000000000004</v>
      </c>
    </row>
    <row r="41" spans="2:7" x14ac:dyDescent="0.2">
      <c r="B41" s="14" t="s">
        <v>28</v>
      </c>
      <c r="C41" s="15" t="s">
        <v>29</v>
      </c>
      <c r="D41" s="198"/>
      <c r="E41" s="198">
        <f>E40*E4</f>
        <v>117183</v>
      </c>
      <c r="F41" s="198">
        <f t="shared" ref="F41:G41" si="9">F40*F4</f>
        <v>122710.50000000001</v>
      </c>
      <c r="G41" s="199">
        <f t="shared" si="9"/>
        <v>151822</v>
      </c>
    </row>
    <row r="42" spans="2:7" x14ac:dyDescent="0.2">
      <c r="B42" s="14" t="s">
        <v>30</v>
      </c>
      <c r="C42" s="15" t="s">
        <v>29</v>
      </c>
      <c r="D42" s="198">
        <f>D19*1.34</f>
        <v>116077.5</v>
      </c>
      <c r="E42" s="198">
        <f t="shared" ref="E42:G42" si="10">E19*1.34</f>
        <v>116077.5</v>
      </c>
      <c r="F42" s="198">
        <f t="shared" si="10"/>
        <v>116077.5</v>
      </c>
      <c r="G42" s="198">
        <f t="shared" si="10"/>
        <v>116077.5</v>
      </c>
    </row>
    <row r="43" spans="2:7" x14ac:dyDescent="0.2">
      <c r="B43" s="14" t="s">
        <v>31</v>
      </c>
      <c r="C43" s="15" t="s">
        <v>29</v>
      </c>
      <c r="D43" s="198"/>
      <c r="E43" s="198">
        <f>E42+E41</f>
        <v>233260.5</v>
      </c>
      <c r="F43" s="198">
        <f t="shared" ref="F43:G43" si="11">F42+F41</f>
        <v>238788</v>
      </c>
      <c r="G43" s="198">
        <f t="shared" si="11"/>
        <v>267899.5</v>
      </c>
    </row>
    <row r="44" spans="2:7" x14ac:dyDescent="0.2">
      <c r="B44" s="14" t="s">
        <v>144</v>
      </c>
      <c r="C44" s="15" t="s">
        <v>33</v>
      </c>
      <c r="D44" s="200"/>
      <c r="E44" s="200">
        <v>0.12</v>
      </c>
      <c r="F44" s="200">
        <v>0.12</v>
      </c>
      <c r="G44" s="201">
        <v>0.12</v>
      </c>
    </row>
    <row r="45" spans="2:7" x14ac:dyDescent="0.2">
      <c r="B45" s="14"/>
      <c r="C45" s="15"/>
      <c r="D45" s="58"/>
      <c r="E45" s="58"/>
      <c r="F45" s="58"/>
      <c r="G45" s="186"/>
    </row>
    <row r="46" spans="2:7" x14ac:dyDescent="0.2">
      <c r="B46" s="14" t="s">
        <v>145</v>
      </c>
      <c r="C46" s="15" t="s">
        <v>29</v>
      </c>
      <c r="D46" s="198"/>
      <c r="E46" s="198">
        <v>121483</v>
      </c>
      <c r="F46" s="198">
        <v>126738</v>
      </c>
      <c r="G46" s="199">
        <v>153754</v>
      </c>
    </row>
    <row r="47" spans="2:7" x14ac:dyDescent="0.2">
      <c r="B47" s="14" t="s">
        <v>35</v>
      </c>
      <c r="C47" s="15" t="s">
        <v>29</v>
      </c>
      <c r="D47" s="198"/>
      <c r="E47" s="198">
        <v>70605</v>
      </c>
      <c r="F47" s="198">
        <v>73157</v>
      </c>
      <c r="G47" s="199">
        <v>75709</v>
      </c>
    </row>
    <row r="48" spans="2:7" x14ac:dyDescent="0.2">
      <c r="B48" s="215" t="s">
        <v>36</v>
      </c>
      <c r="C48" s="216" t="s">
        <v>29</v>
      </c>
      <c r="D48" s="217"/>
      <c r="E48" s="218">
        <f>E47-E46</f>
        <v>-50878</v>
      </c>
      <c r="F48" s="218">
        <f t="shared" ref="F48:G48" si="12">F47-F46</f>
        <v>-53581</v>
      </c>
      <c r="G48" s="219">
        <f t="shared" si="12"/>
        <v>-78045</v>
      </c>
    </row>
    <row r="49" spans="2:7" x14ac:dyDescent="0.2">
      <c r="B49" s="220" t="s">
        <v>37</v>
      </c>
      <c r="C49" s="221" t="s">
        <v>38</v>
      </c>
      <c r="D49" s="222"/>
      <c r="E49" s="179">
        <v>0.159</v>
      </c>
      <c r="F49" s="179">
        <v>0.16</v>
      </c>
      <c r="G49" s="223">
        <v>0.187</v>
      </c>
    </row>
    <row r="50" spans="2:7" x14ac:dyDescent="0.2">
      <c r="B50" s="14" t="s">
        <v>140</v>
      </c>
      <c r="C50" s="221"/>
      <c r="D50" s="222"/>
      <c r="E50" s="180" t="s">
        <v>60</v>
      </c>
      <c r="F50" s="180" t="s">
        <v>60</v>
      </c>
      <c r="G50" s="180" t="s">
        <v>60</v>
      </c>
    </row>
    <row r="51" spans="2:7" x14ac:dyDescent="0.2">
      <c r="B51" s="14" t="s">
        <v>141</v>
      </c>
      <c r="C51" s="221"/>
      <c r="D51" s="222"/>
      <c r="E51" s="180">
        <v>259</v>
      </c>
      <c r="F51" s="180">
        <v>261</v>
      </c>
      <c r="G51" s="224">
        <v>312</v>
      </c>
    </row>
    <row r="52" spans="2:7" x14ac:dyDescent="0.2">
      <c r="B52" s="14"/>
      <c r="C52" s="15"/>
      <c r="D52" s="58"/>
      <c r="E52" s="58"/>
      <c r="F52" s="58"/>
      <c r="G52" s="186"/>
    </row>
    <row r="53" spans="2:7" x14ac:dyDescent="0.2">
      <c r="B53" s="14" t="s">
        <v>146</v>
      </c>
      <c r="C53" s="15" t="s">
        <v>29</v>
      </c>
      <c r="D53" s="213"/>
      <c r="E53" s="198">
        <v>121483</v>
      </c>
      <c r="F53" s="198">
        <v>126738</v>
      </c>
      <c r="G53" s="199">
        <v>153754</v>
      </c>
    </row>
    <row r="54" spans="2:7" x14ac:dyDescent="0.2">
      <c r="B54" s="14" t="s">
        <v>43</v>
      </c>
      <c r="C54" s="15" t="s">
        <v>29</v>
      </c>
      <c r="D54" s="213"/>
      <c r="E54" s="198">
        <v>40219</v>
      </c>
      <c r="F54" s="198">
        <v>42431</v>
      </c>
      <c r="G54" s="199">
        <v>44915</v>
      </c>
    </row>
    <row r="55" spans="2:7" x14ac:dyDescent="0.2">
      <c r="B55" s="215" t="s">
        <v>44</v>
      </c>
      <c r="C55" s="216" t="s">
        <v>29</v>
      </c>
      <c r="D55" s="225"/>
      <c r="E55" s="218">
        <f>E54-E53</f>
        <v>-81264</v>
      </c>
      <c r="F55" s="218">
        <f t="shared" ref="F55:G55" si="13">F54-F53</f>
        <v>-84307</v>
      </c>
      <c r="G55" s="219">
        <f t="shared" si="13"/>
        <v>-108839</v>
      </c>
    </row>
    <row r="56" spans="2:7" x14ac:dyDescent="0.2">
      <c r="B56" s="220" t="s">
        <v>45</v>
      </c>
      <c r="C56" s="221" t="s">
        <v>38</v>
      </c>
      <c r="D56" s="222"/>
      <c r="E56" s="179">
        <v>0.28399999999999997</v>
      </c>
      <c r="F56" s="179">
        <v>0.27900000000000003</v>
      </c>
      <c r="G56" s="223">
        <v>0.32200000000000001</v>
      </c>
    </row>
    <row r="57" spans="2:7" x14ac:dyDescent="0.2">
      <c r="B57" s="14" t="s">
        <v>140</v>
      </c>
      <c r="C57" s="221"/>
      <c r="D57" s="222"/>
      <c r="E57" s="180" t="s">
        <v>60</v>
      </c>
      <c r="F57" s="180" t="s">
        <v>60</v>
      </c>
      <c r="G57" s="224" t="s">
        <v>60</v>
      </c>
    </row>
    <row r="58" spans="2:7" x14ac:dyDescent="0.2">
      <c r="B58" s="14" t="s">
        <v>141</v>
      </c>
      <c r="C58" s="221"/>
      <c r="D58" s="222"/>
      <c r="E58" s="180">
        <v>454</v>
      </c>
      <c r="F58" s="180">
        <v>450</v>
      </c>
      <c r="G58" s="224">
        <v>526</v>
      </c>
    </row>
    <row r="59" spans="2:7" x14ac:dyDescent="0.2">
      <c r="B59" s="14"/>
      <c r="C59" s="15"/>
      <c r="D59" s="58"/>
      <c r="E59" s="58"/>
      <c r="F59" s="58"/>
      <c r="G59" s="186"/>
    </row>
    <row r="60" spans="2:7" x14ac:dyDescent="0.2">
      <c r="B60" s="14" t="s">
        <v>47</v>
      </c>
      <c r="C60" s="15" t="s">
        <v>48</v>
      </c>
      <c r="D60" s="58"/>
      <c r="E60" s="196">
        <f>(E55-E48)/E48*100</f>
        <v>59.723259562089702</v>
      </c>
      <c r="F60" s="196">
        <f t="shared" ref="F60:G60" si="14">(F55-F48)/F48*100</f>
        <v>57.344954368152891</v>
      </c>
      <c r="G60" s="197">
        <f t="shared" si="14"/>
        <v>39.456723685053497</v>
      </c>
    </row>
    <row r="61" spans="2:7" ht="12.75" thickBot="1" x14ac:dyDescent="0.25">
      <c r="B61" s="188"/>
      <c r="C61" s="189"/>
      <c r="D61" s="226"/>
      <c r="E61" s="227"/>
      <c r="F61" s="227"/>
      <c r="G61" s="228"/>
    </row>
    <row r="62" spans="2:7" x14ac:dyDescent="0.2">
      <c r="D62" s="229"/>
      <c r="E62" s="75"/>
      <c r="F62" s="75"/>
      <c r="G62" s="75"/>
    </row>
    <row r="63" spans="2:7" x14ac:dyDescent="0.2">
      <c r="B63" s="15" t="s">
        <v>62</v>
      </c>
      <c r="C63" s="15"/>
      <c r="D63" s="58"/>
      <c r="E63" s="58">
        <f>E48/E46*(-100)</f>
        <v>41.880756978342646</v>
      </c>
      <c r="F63" s="58">
        <f t="shared" ref="F63:G63" si="15">F48/F46*(-100)</f>
        <v>42.276980858148306</v>
      </c>
      <c r="G63" s="58">
        <f t="shared" si="15"/>
        <v>50.759655033364979</v>
      </c>
    </row>
    <row r="64" spans="2:7" x14ac:dyDescent="0.2">
      <c r="B64" s="15" t="s">
        <v>63</v>
      </c>
      <c r="C64" s="15"/>
      <c r="D64" s="15"/>
      <c r="E64" s="58">
        <f>E55/E53*(-100)</f>
        <v>66.893310175086228</v>
      </c>
      <c r="F64" s="58">
        <f t="shared" ref="F64:G64" si="16">F55/F53*(-100)</f>
        <v>66.520696239486185</v>
      </c>
      <c r="G64" s="58">
        <f t="shared" si="16"/>
        <v>70.787751863366154</v>
      </c>
    </row>
    <row r="65" spans="5:7" x14ac:dyDescent="0.2">
      <c r="E65" s="76"/>
      <c r="F65" s="76"/>
      <c r="G65" s="7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D3DE-80AA-408C-8F7E-A960B22FED64}">
  <dimension ref="A1:J74"/>
  <sheetViews>
    <sheetView workbookViewId="0"/>
  </sheetViews>
  <sheetFormatPr baseColWidth="10" defaultColWidth="8.7109375" defaultRowHeight="12" x14ac:dyDescent="0.2"/>
  <cols>
    <col min="1" max="1" width="6.140625" style="1" customWidth="1"/>
    <col min="2" max="2" width="41.140625" style="1" customWidth="1"/>
    <col min="3" max="4" width="8.7109375" style="1"/>
    <col min="5" max="7" width="9.140625" style="1" bestFit="1" customWidth="1"/>
    <col min="8" max="16384" width="8.7109375" style="1"/>
  </cols>
  <sheetData>
    <row r="1" spans="1:10" ht="47.1" customHeight="1" x14ac:dyDescent="0.2">
      <c r="A1" s="3" t="s">
        <v>157</v>
      </c>
      <c r="B1" s="269" t="s">
        <v>148</v>
      </c>
      <c r="C1" s="269"/>
      <c r="D1" s="269"/>
      <c r="E1" s="269"/>
      <c r="F1" s="269"/>
      <c r="G1" s="269"/>
      <c r="H1" s="269"/>
      <c r="I1" s="269"/>
      <c r="J1" s="269"/>
    </row>
    <row r="2" spans="1:10" ht="12.75" thickBot="1" x14ac:dyDescent="0.25">
      <c r="B2" s="56" t="s">
        <v>149</v>
      </c>
    </row>
    <row r="3" spans="1:10" ht="12.75" thickBot="1" x14ac:dyDescent="0.25">
      <c r="B3" s="230" t="s">
        <v>153</v>
      </c>
      <c r="C3" s="6" t="s">
        <v>5</v>
      </c>
      <c r="D3" s="6" t="s">
        <v>6</v>
      </c>
      <c r="E3" s="6" t="s">
        <v>122</v>
      </c>
      <c r="F3" s="6" t="s">
        <v>123</v>
      </c>
      <c r="G3" s="7" t="s">
        <v>124</v>
      </c>
    </row>
    <row r="4" spans="1:10" x14ac:dyDescent="0.2">
      <c r="B4" s="231" t="s">
        <v>150</v>
      </c>
      <c r="C4" s="232" t="s">
        <v>12</v>
      </c>
      <c r="D4" s="232"/>
      <c r="E4" s="232"/>
      <c r="F4" s="232"/>
      <c r="G4" s="233"/>
    </row>
    <row r="5" spans="1:10" x14ac:dyDescent="0.2">
      <c r="B5" s="220" t="s">
        <v>15</v>
      </c>
      <c r="C5" s="221" t="s">
        <v>80</v>
      </c>
      <c r="D5" s="221">
        <v>110</v>
      </c>
      <c r="E5" s="221">
        <v>110</v>
      </c>
      <c r="F5" s="221">
        <v>110</v>
      </c>
      <c r="G5" s="234">
        <v>110</v>
      </c>
    </row>
    <row r="6" spans="1:10" x14ac:dyDescent="0.2">
      <c r="B6" s="220" t="s">
        <v>126</v>
      </c>
      <c r="C6" s="221"/>
      <c r="D6" s="221" t="s">
        <v>151</v>
      </c>
      <c r="E6" s="221"/>
      <c r="F6" s="221"/>
      <c r="G6" s="234"/>
    </row>
    <row r="7" spans="1:10" x14ac:dyDescent="0.2">
      <c r="B7" s="220" t="s">
        <v>128</v>
      </c>
      <c r="C7" s="221" t="s">
        <v>129</v>
      </c>
      <c r="D7" s="221"/>
      <c r="E7" s="221">
        <v>18</v>
      </c>
      <c r="F7" s="221">
        <v>18</v>
      </c>
      <c r="G7" s="234">
        <v>20</v>
      </c>
    </row>
    <row r="8" spans="1:10" x14ac:dyDescent="0.2">
      <c r="B8" s="220" t="s">
        <v>130</v>
      </c>
      <c r="C8" s="221" t="s">
        <v>81</v>
      </c>
      <c r="D8" s="170">
        <v>229</v>
      </c>
      <c r="E8" s="170">
        <v>42.5</v>
      </c>
      <c r="F8" s="170">
        <v>35</v>
      </c>
      <c r="G8" s="235">
        <v>27.5</v>
      </c>
    </row>
    <row r="9" spans="1:10" x14ac:dyDescent="0.2">
      <c r="B9" s="220" t="s">
        <v>83</v>
      </c>
      <c r="C9" s="221" t="s">
        <v>24</v>
      </c>
      <c r="D9" s="236">
        <f>0.182*D8</f>
        <v>41.677999999999997</v>
      </c>
      <c r="E9" s="236">
        <f>0.182*E8</f>
        <v>7.7349999999999994</v>
      </c>
      <c r="F9" s="236">
        <f>0.182*F8</f>
        <v>6.37</v>
      </c>
      <c r="G9" s="237">
        <f>0.182*G8</f>
        <v>5.0049999999999999</v>
      </c>
    </row>
    <row r="10" spans="1:10" x14ac:dyDescent="0.2">
      <c r="B10" s="11" t="s">
        <v>131</v>
      </c>
      <c r="C10" s="12" t="s">
        <v>113</v>
      </c>
      <c r="D10" s="238"/>
      <c r="E10" s="238">
        <v>416</v>
      </c>
      <c r="F10" s="238">
        <v>462</v>
      </c>
      <c r="G10" s="239">
        <v>524</v>
      </c>
    </row>
    <row r="11" spans="1:10" x14ac:dyDescent="0.2">
      <c r="B11" s="21" t="s">
        <v>132</v>
      </c>
      <c r="C11" s="12" t="s">
        <v>113</v>
      </c>
      <c r="D11" s="238">
        <v>436</v>
      </c>
      <c r="E11" s="238">
        <v>436</v>
      </c>
      <c r="F11" s="238">
        <v>436</v>
      </c>
      <c r="G11" s="238">
        <v>436</v>
      </c>
    </row>
    <row r="12" spans="1:10" x14ac:dyDescent="0.2">
      <c r="B12" s="21" t="s">
        <v>133</v>
      </c>
      <c r="C12" s="12" t="s">
        <v>113</v>
      </c>
      <c r="D12" s="238">
        <f>D11+D10</f>
        <v>436</v>
      </c>
      <c r="E12" s="238">
        <f t="shared" ref="E12:G12" si="0">E11+E10</f>
        <v>852</v>
      </c>
      <c r="F12" s="238">
        <f t="shared" si="0"/>
        <v>898</v>
      </c>
      <c r="G12" s="238">
        <f t="shared" si="0"/>
        <v>960</v>
      </c>
    </row>
    <row r="13" spans="1:10" x14ac:dyDescent="0.2">
      <c r="B13" s="220" t="s">
        <v>135</v>
      </c>
      <c r="C13" s="221" t="s">
        <v>88</v>
      </c>
      <c r="D13" s="236">
        <v>-34</v>
      </c>
      <c r="E13" s="236">
        <v>10</v>
      </c>
      <c r="F13" s="236">
        <v>15</v>
      </c>
      <c r="G13" s="237">
        <v>20</v>
      </c>
    </row>
    <row r="14" spans="1:10" x14ac:dyDescent="0.2">
      <c r="B14" s="182" t="s">
        <v>136</v>
      </c>
      <c r="C14" s="170" t="s">
        <v>81</v>
      </c>
      <c r="D14" s="174">
        <f>D8*(1+D13/100)</f>
        <v>151.13999999999999</v>
      </c>
      <c r="E14" s="174">
        <f>E8*(1+E13/100)</f>
        <v>46.750000000000007</v>
      </c>
      <c r="F14" s="174">
        <f t="shared" ref="F14:G14" si="1">F8*(1+F13/100)</f>
        <v>40.25</v>
      </c>
      <c r="G14" s="183">
        <f t="shared" si="1"/>
        <v>33</v>
      </c>
    </row>
    <row r="15" spans="1:10" x14ac:dyDescent="0.2">
      <c r="B15" s="220"/>
      <c r="C15" s="221"/>
      <c r="D15" s="236"/>
      <c r="E15" s="236"/>
      <c r="F15" s="236"/>
      <c r="G15" s="237"/>
    </row>
    <row r="16" spans="1:10" x14ac:dyDescent="0.2">
      <c r="B16" s="182" t="s">
        <v>25</v>
      </c>
      <c r="C16" s="221"/>
      <c r="D16" s="236"/>
      <c r="E16" s="236"/>
      <c r="F16" s="236"/>
      <c r="G16" s="237"/>
    </row>
    <row r="17" spans="2:7" x14ac:dyDescent="0.2">
      <c r="B17" s="220"/>
      <c r="C17" s="221"/>
      <c r="D17" s="240"/>
      <c r="E17" s="240"/>
      <c r="F17" s="240"/>
      <c r="G17" s="241"/>
    </row>
    <row r="18" spans="2:7" x14ac:dyDescent="0.2">
      <c r="B18" s="220" t="s">
        <v>28</v>
      </c>
      <c r="C18" s="221" t="s">
        <v>29</v>
      </c>
      <c r="D18" s="240"/>
      <c r="E18" s="240">
        <f>E10*E5</f>
        <v>45760</v>
      </c>
      <c r="F18" s="240">
        <f t="shared" ref="F18:G18" si="2">F10*F5</f>
        <v>50820</v>
      </c>
      <c r="G18" s="240">
        <f t="shared" si="2"/>
        <v>57640</v>
      </c>
    </row>
    <row r="19" spans="2:7" x14ac:dyDescent="0.2">
      <c r="B19" s="220" t="s">
        <v>30</v>
      </c>
      <c r="C19" s="221" t="s">
        <v>29</v>
      </c>
      <c r="D19" s="240">
        <f>D11*D5</f>
        <v>47960</v>
      </c>
      <c r="E19" s="240">
        <f t="shared" ref="E19:G19" si="3">E11*E5</f>
        <v>47960</v>
      </c>
      <c r="F19" s="240">
        <f t="shared" si="3"/>
        <v>47960</v>
      </c>
      <c r="G19" s="240">
        <f t="shared" si="3"/>
        <v>47960</v>
      </c>
    </row>
    <row r="20" spans="2:7" x14ac:dyDescent="0.2">
      <c r="B20" s="220" t="s">
        <v>31</v>
      </c>
      <c r="C20" s="221" t="s">
        <v>29</v>
      </c>
      <c r="D20" s="240"/>
      <c r="E20" s="240">
        <f>E19+E18</f>
        <v>93720</v>
      </c>
      <c r="F20" s="240">
        <f t="shared" ref="F20:G20" si="4">F19+F18</f>
        <v>98780</v>
      </c>
      <c r="G20" s="240">
        <f t="shared" si="4"/>
        <v>105600</v>
      </c>
    </row>
    <row r="21" spans="2:7" x14ac:dyDescent="0.2">
      <c r="B21" s="220" t="s">
        <v>32</v>
      </c>
      <c r="C21" s="221" t="s">
        <v>33</v>
      </c>
      <c r="D21" s="222">
        <v>0.06</v>
      </c>
      <c r="E21" s="222">
        <v>0.06</v>
      </c>
      <c r="F21" s="222">
        <v>0.06</v>
      </c>
      <c r="G21" s="242">
        <v>0.06</v>
      </c>
    </row>
    <row r="22" spans="2:7" x14ac:dyDescent="0.2">
      <c r="B22" s="220"/>
      <c r="C22" s="221"/>
      <c r="D22" s="236"/>
      <c r="E22" s="236"/>
      <c r="F22" s="236"/>
      <c r="G22" s="237"/>
    </row>
    <row r="23" spans="2:7" x14ac:dyDescent="0.2">
      <c r="B23" s="220" t="s">
        <v>139</v>
      </c>
      <c r="C23" s="221" t="s">
        <v>29</v>
      </c>
      <c r="D23" s="240"/>
      <c r="E23" s="240">
        <v>44364</v>
      </c>
      <c r="F23" s="240">
        <v>49363</v>
      </c>
      <c r="G23" s="241">
        <v>55383</v>
      </c>
    </row>
    <row r="24" spans="2:7" x14ac:dyDescent="0.2">
      <c r="B24" s="220" t="s">
        <v>35</v>
      </c>
      <c r="C24" s="221" t="s">
        <v>29</v>
      </c>
      <c r="D24" s="240"/>
      <c r="E24" s="240">
        <v>21667</v>
      </c>
      <c r="F24" s="240">
        <v>22538</v>
      </c>
      <c r="G24" s="241">
        <v>23410</v>
      </c>
    </row>
    <row r="25" spans="2:7" x14ac:dyDescent="0.2">
      <c r="B25" s="220" t="s">
        <v>36</v>
      </c>
      <c r="C25" s="221" t="s">
        <v>29</v>
      </c>
      <c r="D25" s="240"/>
      <c r="E25" s="238">
        <f>E24-E23</f>
        <v>-22697</v>
      </c>
      <c r="F25" s="238">
        <f t="shared" ref="F25:G25" si="5">F24-F23</f>
        <v>-26825</v>
      </c>
      <c r="G25" s="239">
        <f t="shared" si="5"/>
        <v>-31973</v>
      </c>
    </row>
    <row r="26" spans="2:7" x14ac:dyDescent="0.2">
      <c r="B26" s="220" t="s">
        <v>37</v>
      </c>
      <c r="C26" s="221" t="s">
        <v>38</v>
      </c>
      <c r="D26" s="222"/>
      <c r="E26" s="179">
        <v>0.124</v>
      </c>
      <c r="F26" s="179">
        <v>0.13200000000000001</v>
      </c>
      <c r="G26" s="223">
        <v>0.14199999999999999</v>
      </c>
    </row>
    <row r="27" spans="2:7" x14ac:dyDescent="0.2">
      <c r="B27" s="14" t="s">
        <v>140</v>
      </c>
      <c r="C27" s="15"/>
      <c r="D27" s="222"/>
      <c r="E27" s="179" t="s">
        <v>60</v>
      </c>
      <c r="F27" s="179" t="s">
        <v>60</v>
      </c>
      <c r="G27" s="223" t="s">
        <v>152</v>
      </c>
    </row>
    <row r="28" spans="2:7" x14ac:dyDescent="0.2">
      <c r="B28" s="14" t="s">
        <v>141</v>
      </c>
      <c r="C28" s="15"/>
      <c r="D28" s="222"/>
      <c r="E28" s="180">
        <v>440</v>
      </c>
      <c r="F28" s="180">
        <v>477</v>
      </c>
      <c r="G28" s="224">
        <v>521</v>
      </c>
    </row>
    <row r="29" spans="2:7" x14ac:dyDescent="0.2">
      <c r="B29" s="220"/>
      <c r="C29" s="221"/>
      <c r="D29" s="236"/>
      <c r="E29" s="236"/>
      <c r="F29" s="236"/>
      <c r="G29" s="237"/>
    </row>
    <row r="30" spans="2:7" x14ac:dyDescent="0.2">
      <c r="B30" s="220" t="s">
        <v>142</v>
      </c>
      <c r="C30" s="221" t="s">
        <v>29</v>
      </c>
      <c r="D30" s="243"/>
      <c r="E30" s="240">
        <v>44364</v>
      </c>
      <c r="F30" s="240">
        <v>49363</v>
      </c>
      <c r="G30" s="241">
        <v>55383</v>
      </c>
    </row>
    <row r="31" spans="2:7" x14ac:dyDescent="0.2">
      <c r="B31" s="220" t="s">
        <v>43</v>
      </c>
      <c r="C31" s="221" t="s">
        <v>29</v>
      </c>
      <c r="D31" s="243"/>
      <c r="E31" s="240">
        <v>12117</v>
      </c>
      <c r="F31" s="240">
        <v>12872</v>
      </c>
      <c r="G31" s="241">
        <v>13720</v>
      </c>
    </row>
    <row r="32" spans="2:7" x14ac:dyDescent="0.2">
      <c r="B32" s="220" t="s">
        <v>44</v>
      </c>
      <c r="C32" s="221" t="s">
        <v>29</v>
      </c>
      <c r="D32" s="243"/>
      <c r="E32" s="238">
        <f>E31-E30</f>
        <v>-32247</v>
      </c>
      <c r="F32" s="238">
        <f t="shared" ref="F32:G32" si="6">F31-F30</f>
        <v>-36491</v>
      </c>
      <c r="G32" s="239">
        <f t="shared" si="6"/>
        <v>-41663</v>
      </c>
    </row>
    <row r="33" spans="2:7" x14ac:dyDescent="0.2">
      <c r="B33" s="220" t="s">
        <v>45</v>
      </c>
      <c r="C33" s="221" t="s">
        <v>38</v>
      </c>
      <c r="D33" s="222"/>
      <c r="E33" s="179">
        <v>0.219</v>
      </c>
      <c r="F33" s="179">
        <v>0.23</v>
      </c>
      <c r="G33" s="223">
        <v>0.24199999999999999</v>
      </c>
    </row>
    <row r="34" spans="2:7" x14ac:dyDescent="0.2">
      <c r="B34" s="14" t="s">
        <v>140</v>
      </c>
      <c r="C34" s="15"/>
      <c r="D34" s="222"/>
      <c r="E34" s="179" t="s">
        <v>60</v>
      </c>
      <c r="F34" s="179" t="s">
        <v>60</v>
      </c>
      <c r="G34" s="223" t="s">
        <v>60</v>
      </c>
    </row>
    <row r="35" spans="2:7" x14ac:dyDescent="0.2">
      <c r="B35" s="14" t="s">
        <v>141</v>
      </c>
      <c r="C35" s="15"/>
      <c r="D35" s="222"/>
      <c r="E35" s="180">
        <v>786</v>
      </c>
      <c r="F35" s="180">
        <v>834</v>
      </c>
      <c r="G35" s="224">
        <v>888</v>
      </c>
    </row>
    <row r="36" spans="2:7" x14ac:dyDescent="0.2">
      <c r="B36" s="220"/>
      <c r="C36" s="221"/>
      <c r="D36" s="236"/>
      <c r="E36" s="236"/>
      <c r="F36" s="236"/>
      <c r="G36" s="237"/>
    </row>
    <row r="37" spans="2:7" x14ac:dyDescent="0.2">
      <c r="B37" s="220" t="s">
        <v>47</v>
      </c>
      <c r="C37" s="221" t="s">
        <v>48</v>
      </c>
      <c r="D37" s="236"/>
      <c r="E37" s="174">
        <f>(E32-E25)/E25*100</f>
        <v>42.076045292329383</v>
      </c>
      <c r="F37" s="174">
        <f t="shared" ref="F37:G37" si="7">(F32-F25)/F25*100</f>
        <v>36.033550792171482</v>
      </c>
      <c r="G37" s="183">
        <f t="shared" si="7"/>
        <v>30.306821380539827</v>
      </c>
    </row>
    <row r="38" spans="2:7" x14ac:dyDescent="0.2">
      <c r="B38" s="220"/>
      <c r="C38" s="221"/>
      <c r="D38" s="236"/>
      <c r="E38" s="174"/>
      <c r="F38" s="174"/>
      <c r="G38" s="183"/>
    </row>
    <row r="39" spans="2:7" x14ac:dyDescent="0.2">
      <c r="B39" s="182" t="s">
        <v>49</v>
      </c>
      <c r="C39" s="221"/>
      <c r="D39" s="236"/>
      <c r="E39" s="174"/>
      <c r="F39" s="174"/>
      <c r="G39" s="183"/>
    </row>
    <row r="40" spans="2:7" x14ac:dyDescent="0.2">
      <c r="B40" s="220" t="s">
        <v>28</v>
      </c>
      <c r="C40" s="221" t="s">
        <v>29</v>
      </c>
      <c r="D40" s="240"/>
      <c r="E40" s="240">
        <f>E18*1.34</f>
        <v>61318.400000000001</v>
      </c>
      <c r="F40" s="240">
        <f t="shared" ref="F40:G40" si="8">F18*1.34</f>
        <v>68098.8</v>
      </c>
      <c r="G40" s="240">
        <f t="shared" si="8"/>
        <v>77237.600000000006</v>
      </c>
    </row>
    <row r="41" spans="2:7" x14ac:dyDescent="0.2">
      <c r="B41" s="220" t="s">
        <v>30</v>
      </c>
      <c r="C41" s="221" t="s">
        <v>29</v>
      </c>
      <c r="D41" s="240">
        <f>D19*1.34</f>
        <v>64266.400000000001</v>
      </c>
      <c r="E41" s="240">
        <f t="shared" ref="E41:G41" si="9">E19*1.34</f>
        <v>64266.400000000001</v>
      </c>
      <c r="F41" s="240">
        <f t="shared" si="9"/>
        <v>64266.400000000001</v>
      </c>
      <c r="G41" s="240">
        <f t="shared" si="9"/>
        <v>64266.400000000001</v>
      </c>
    </row>
    <row r="42" spans="2:7" x14ac:dyDescent="0.2">
      <c r="B42" s="220" t="s">
        <v>31</v>
      </c>
      <c r="C42" s="221" t="s">
        <v>29</v>
      </c>
      <c r="D42" s="240"/>
      <c r="E42" s="240">
        <f>E41+E40</f>
        <v>125584.8</v>
      </c>
      <c r="F42" s="240">
        <f t="shared" ref="F42:G42" si="10">F41+F40</f>
        <v>132365.20000000001</v>
      </c>
      <c r="G42" s="240">
        <f t="shared" si="10"/>
        <v>141504</v>
      </c>
    </row>
    <row r="43" spans="2:7" x14ac:dyDescent="0.2">
      <c r="B43" s="220" t="s">
        <v>144</v>
      </c>
      <c r="C43" s="221" t="s">
        <v>33</v>
      </c>
      <c r="D43" s="222">
        <v>0.09</v>
      </c>
      <c r="E43" s="222">
        <v>0.09</v>
      </c>
      <c r="F43" s="222">
        <v>0.09</v>
      </c>
      <c r="G43" s="222">
        <v>0.09</v>
      </c>
    </row>
    <row r="44" spans="2:7" x14ac:dyDescent="0.2">
      <c r="B44" s="220"/>
      <c r="C44" s="221"/>
      <c r="D44" s="236"/>
      <c r="E44" s="236"/>
      <c r="F44" s="236"/>
      <c r="G44" s="237"/>
    </row>
    <row r="45" spans="2:7" x14ac:dyDescent="0.2">
      <c r="B45" s="220" t="s">
        <v>145</v>
      </c>
      <c r="C45" s="221" t="s">
        <v>29</v>
      </c>
      <c r="D45" s="240"/>
      <c r="E45" s="240">
        <v>63928</v>
      </c>
      <c r="F45" s="240">
        <v>70354</v>
      </c>
      <c r="G45" s="241">
        <v>78784</v>
      </c>
    </row>
    <row r="46" spans="2:7" x14ac:dyDescent="0.2">
      <c r="B46" s="220" t="s">
        <v>35</v>
      </c>
      <c r="C46" s="221" t="s">
        <v>29</v>
      </c>
      <c r="D46" s="240"/>
      <c r="E46" s="240">
        <v>25384</v>
      </c>
      <c r="F46" s="240">
        <v>26404</v>
      </c>
      <c r="G46" s="241">
        <v>27426</v>
      </c>
    </row>
    <row r="47" spans="2:7" x14ac:dyDescent="0.2">
      <c r="B47" s="220" t="s">
        <v>36</v>
      </c>
      <c r="C47" s="221" t="s">
        <v>29</v>
      </c>
      <c r="D47" s="240"/>
      <c r="E47" s="238">
        <f>E46-E45</f>
        <v>-38544</v>
      </c>
      <c r="F47" s="238">
        <f t="shared" ref="F47:G47" si="11">F46-F45</f>
        <v>-43950</v>
      </c>
      <c r="G47" s="239">
        <f t="shared" si="11"/>
        <v>-51358</v>
      </c>
    </row>
    <row r="48" spans="2:7" x14ac:dyDescent="0.2">
      <c r="B48" s="220" t="s">
        <v>37</v>
      </c>
      <c r="C48" s="221" t="s">
        <v>38</v>
      </c>
      <c r="D48" s="222"/>
      <c r="E48" s="179">
        <v>0.23499999999999999</v>
      </c>
      <c r="F48" s="179">
        <v>0.249</v>
      </c>
      <c r="G48" s="223">
        <v>0.26900000000000002</v>
      </c>
    </row>
    <row r="49" spans="2:10" x14ac:dyDescent="0.2">
      <c r="B49" s="14" t="s">
        <v>140</v>
      </c>
      <c r="C49" s="15"/>
      <c r="D49" s="222"/>
      <c r="E49" s="180" t="s">
        <v>60</v>
      </c>
      <c r="F49" s="180" t="s">
        <v>60</v>
      </c>
      <c r="G49" s="180" t="s">
        <v>60</v>
      </c>
    </row>
    <row r="50" spans="2:10" x14ac:dyDescent="0.2">
      <c r="B50" s="14" t="s">
        <v>141</v>
      </c>
      <c r="C50" s="15"/>
      <c r="D50" s="222"/>
      <c r="E50" s="180">
        <v>376</v>
      </c>
      <c r="F50" s="180">
        <v>402</v>
      </c>
      <c r="G50" s="224">
        <v>439</v>
      </c>
    </row>
    <row r="51" spans="2:10" x14ac:dyDescent="0.2">
      <c r="B51" s="220"/>
      <c r="C51" s="221"/>
      <c r="D51" s="236"/>
      <c r="E51" s="236"/>
      <c r="F51" s="236"/>
      <c r="G51" s="237"/>
    </row>
    <row r="52" spans="2:10" x14ac:dyDescent="0.2">
      <c r="B52" s="220" t="s">
        <v>146</v>
      </c>
      <c r="C52" s="221" t="s">
        <v>29</v>
      </c>
      <c r="D52" s="243"/>
      <c r="E52" s="240">
        <v>63928</v>
      </c>
      <c r="F52" s="240">
        <v>70354</v>
      </c>
      <c r="G52" s="241">
        <v>78784</v>
      </c>
    </row>
    <row r="53" spans="2:10" x14ac:dyDescent="0.2">
      <c r="B53" s="220" t="s">
        <v>43</v>
      </c>
      <c r="C53" s="221" t="s">
        <v>29</v>
      </c>
      <c r="D53" s="243"/>
      <c r="E53" s="240">
        <v>14196</v>
      </c>
      <c r="F53" s="240">
        <v>15081</v>
      </c>
      <c r="G53" s="241">
        <v>16074</v>
      </c>
    </row>
    <row r="54" spans="2:10" x14ac:dyDescent="0.2">
      <c r="B54" s="220" t="s">
        <v>44</v>
      </c>
      <c r="C54" s="221" t="s">
        <v>29</v>
      </c>
      <c r="D54" s="243"/>
      <c r="E54" s="238">
        <f>E53-E52</f>
        <v>-49732</v>
      </c>
      <c r="F54" s="238">
        <f t="shared" ref="F54:G54" si="12">F53-F52</f>
        <v>-55273</v>
      </c>
      <c r="G54" s="239">
        <f t="shared" si="12"/>
        <v>-62710</v>
      </c>
    </row>
    <row r="55" spans="2:10" x14ac:dyDescent="0.2">
      <c r="B55" s="220" t="s">
        <v>45</v>
      </c>
      <c r="C55" s="221" t="s">
        <v>38</v>
      </c>
      <c r="D55" s="222"/>
      <c r="E55" s="179">
        <v>0.42499999999999999</v>
      </c>
      <c r="F55" s="179">
        <v>0.44</v>
      </c>
      <c r="G55" s="223">
        <v>0.46300000000000002</v>
      </c>
    </row>
    <row r="56" spans="2:10" x14ac:dyDescent="0.2">
      <c r="B56" s="14" t="s">
        <v>140</v>
      </c>
      <c r="C56" s="15"/>
      <c r="D56" s="222"/>
      <c r="E56" s="180" t="s">
        <v>60</v>
      </c>
      <c r="F56" s="180" t="s">
        <v>60</v>
      </c>
      <c r="G56" s="180" t="s">
        <v>60</v>
      </c>
    </row>
    <row r="57" spans="2:10" x14ac:dyDescent="0.2">
      <c r="B57" s="14" t="s">
        <v>141</v>
      </c>
      <c r="C57" s="15"/>
      <c r="D57" s="222"/>
      <c r="E57" s="180">
        <v>672</v>
      </c>
      <c r="F57" s="180">
        <v>703</v>
      </c>
      <c r="G57" s="224">
        <v>748</v>
      </c>
    </row>
    <row r="58" spans="2:10" x14ac:dyDescent="0.2">
      <c r="B58" s="220"/>
      <c r="C58" s="221"/>
      <c r="D58" s="236"/>
      <c r="E58" s="236"/>
      <c r="F58" s="236"/>
      <c r="G58" s="237"/>
    </row>
    <row r="59" spans="2:10" x14ac:dyDescent="0.2">
      <c r="B59" s="220" t="s">
        <v>47</v>
      </c>
      <c r="C59" s="221" t="s">
        <v>48</v>
      </c>
      <c r="D59" s="236"/>
      <c r="E59" s="174">
        <f>(E54-E47)/E47*100</f>
        <v>29.026567040265672</v>
      </c>
      <c r="F59" s="174">
        <f t="shared" ref="F59:G59" si="13">(F54-F47)/F47*100</f>
        <v>25.763367463026164</v>
      </c>
      <c r="G59" s="183">
        <f t="shared" si="13"/>
        <v>22.103664472915614</v>
      </c>
    </row>
    <row r="60" spans="2:10" ht="12.75" thickBot="1" x14ac:dyDescent="0.25">
      <c r="B60" s="244"/>
      <c r="C60" s="245"/>
      <c r="D60" s="246"/>
      <c r="E60" s="247"/>
      <c r="F60" s="247"/>
      <c r="G60" s="248"/>
    </row>
    <row r="61" spans="2:10" x14ac:dyDescent="0.2">
      <c r="D61" s="229"/>
      <c r="E61" s="75"/>
      <c r="F61" s="75"/>
      <c r="G61" s="75"/>
    </row>
    <row r="62" spans="2:10" x14ac:dyDescent="0.2">
      <c r="B62" s="221" t="s">
        <v>62</v>
      </c>
      <c r="C62" s="221"/>
      <c r="D62" s="236"/>
      <c r="E62" s="236">
        <f>E47/E45*(-100)</f>
        <v>60.292829433112246</v>
      </c>
      <c r="F62" s="236">
        <f t="shared" ref="F62:G62" si="14">F47/F45*(-100)</f>
        <v>62.469795605082865</v>
      </c>
      <c r="G62" s="236">
        <f t="shared" si="14"/>
        <v>65.188363119415101</v>
      </c>
    </row>
    <row r="63" spans="2:10" x14ac:dyDescent="0.2">
      <c r="B63" s="221" t="s">
        <v>63</v>
      </c>
      <c r="C63" s="221"/>
      <c r="D63" s="221"/>
      <c r="E63" s="236">
        <f>E54/E52*(-100)</f>
        <v>77.793767988987611</v>
      </c>
      <c r="F63" s="236">
        <f t="shared" ref="F63:G63" si="15">F54/F52*(-100)</f>
        <v>78.564118600221732</v>
      </c>
      <c r="G63" s="236">
        <f t="shared" si="15"/>
        <v>79.597380178716492</v>
      </c>
    </row>
    <row r="64" spans="2:10" x14ac:dyDescent="0.2">
      <c r="E64" s="76"/>
      <c r="F64" s="76"/>
      <c r="G64" s="76"/>
      <c r="I64" s="184"/>
      <c r="J64" s="184"/>
    </row>
    <row r="65" spans="2:10" x14ac:dyDescent="0.2">
      <c r="B65" s="56"/>
    </row>
    <row r="66" spans="2:10" x14ac:dyDescent="0.2">
      <c r="D66" s="56"/>
    </row>
    <row r="72" spans="2:10" x14ac:dyDescent="0.2">
      <c r="D72" s="229"/>
      <c r="E72" s="229"/>
      <c r="F72" s="229"/>
      <c r="G72" s="229"/>
    </row>
    <row r="74" spans="2:10" x14ac:dyDescent="0.2">
      <c r="E74" s="76"/>
      <c r="F74" s="76"/>
      <c r="G74" s="76"/>
      <c r="I74" s="184"/>
      <c r="J74" s="184"/>
    </row>
  </sheetData>
  <mergeCells count="1">
    <mergeCell ref="B1:J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A7AE7-AF4A-44CE-AB1A-707C068AEBC7}">
  <dimension ref="B1:G61"/>
  <sheetViews>
    <sheetView workbookViewId="0">
      <selection activeCell="A7" sqref="A7"/>
    </sheetView>
  </sheetViews>
  <sheetFormatPr baseColWidth="10" defaultColWidth="8.7109375" defaultRowHeight="12" x14ac:dyDescent="0.2"/>
  <cols>
    <col min="1" max="1" width="8.7109375" style="1"/>
    <col min="2" max="2" width="41.85546875" style="1" customWidth="1"/>
    <col min="3" max="16384" width="8.7109375" style="1"/>
  </cols>
  <sheetData>
    <row r="1" spans="2:7" ht="12.75" thickBot="1" x14ac:dyDescent="0.25"/>
    <row r="2" spans="2:7" ht="12.75" thickBot="1" x14ac:dyDescent="0.25">
      <c r="B2" s="230" t="s">
        <v>154</v>
      </c>
      <c r="C2" s="6" t="s">
        <v>5</v>
      </c>
      <c r="D2" s="6" t="s">
        <v>6</v>
      </c>
      <c r="E2" s="6" t="s">
        <v>122</v>
      </c>
      <c r="F2" s="6" t="s">
        <v>123</v>
      </c>
      <c r="G2" s="7" t="s">
        <v>124</v>
      </c>
    </row>
    <row r="3" spans="2:7" x14ac:dyDescent="0.2">
      <c r="B3" s="249" t="s">
        <v>155</v>
      </c>
      <c r="C3" s="250" t="s">
        <v>12</v>
      </c>
      <c r="D3" s="250"/>
      <c r="E3" s="250"/>
      <c r="F3" s="250"/>
      <c r="G3" s="251"/>
    </row>
    <row r="4" spans="2:7" x14ac:dyDescent="0.2">
      <c r="B4" s="192" t="s">
        <v>15</v>
      </c>
      <c r="C4" s="193" t="s">
        <v>80</v>
      </c>
      <c r="D4" s="252">
        <v>157</v>
      </c>
      <c r="E4" s="193">
        <v>157</v>
      </c>
      <c r="F4" s="193">
        <v>157</v>
      </c>
      <c r="G4" s="253">
        <v>157</v>
      </c>
    </row>
    <row r="5" spans="2:7" x14ac:dyDescent="0.2">
      <c r="B5" s="192" t="s">
        <v>126</v>
      </c>
      <c r="C5" s="193"/>
      <c r="D5" s="193" t="s">
        <v>156</v>
      </c>
      <c r="E5" s="193"/>
      <c r="F5" s="193"/>
      <c r="G5" s="253"/>
    </row>
    <row r="6" spans="2:7" x14ac:dyDescent="0.2">
      <c r="B6" s="192" t="s">
        <v>128</v>
      </c>
      <c r="C6" s="193" t="s">
        <v>129</v>
      </c>
      <c r="D6" s="193"/>
      <c r="E6" s="193">
        <v>18</v>
      </c>
      <c r="F6" s="193">
        <v>18</v>
      </c>
      <c r="G6" s="253">
        <v>20</v>
      </c>
    </row>
    <row r="7" spans="2:7" x14ac:dyDescent="0.2">
      <c r="B7" s="254" t="s">
        <v>130</v>
      </c>
      <c r="C7" s="252" t="s">
        <v>81</v>
      </c>
      <c r="D7" s="252">
        <v>209</v>
      </c>
      <c r="E7" s="252">
        <v>42.5</v>
      </c>
      <c r="F7" s="252">
        <v>35</v>
      </c>
      <c r="G7" s="255">
        <v>27.5</v>
      </c>
    </row>
    <row r="8" spans="2:7" x14ac:dyDescent="0.2">
      <c r="B8" s="192" t="s">
        <v>83</v>
      </c>
      <c r="C8" s="193" t="s">
        <v>24</v>
      </c>
      <c r="D8" s="194">
        <f>0.182*D7</f>
        <v>38.037999999999997</v>
      </c>
      <c r="E8" s="194">
        <f>0.182*E7</f>
        <v>7.7349999999999994</v>
      </c>
      <c r="F8" s="194">
        <f>0.182*F7</f>
        <v>6.37</v>
      </c>
      <c r="G8" s="195">
        <f>0.182*G7</f>
        <v>5.0049999999999999</v>
      </c>
    </row>
    <row r="9" spans="2:7" x14ac:dyDescent="0.2">
      <c r="B9" s="11" t="s">
        <v>131</v>
      </c>
      <c r="C9" s="12" t="s">
        <v>113</v>
      </c>
      <c r="D9" s="256"/>
      <c r="E9" s="256">
        <v>398</v>
      </c>
      <c r="F9" s="256">
        <v>432</v>
      </c>
      <c r="G9" s="257">
        <v>511</v>
      </c>
    </row>
    <row r="10" spans="2:7" x14ac:dyDescent="0.2">
      <c r="B10" s="21" t="s">
        <v>132</v>
      </c>
      <c r="C10" s="12" t="s">
        <v>113</v>
      </c>
      <c r="D10" s="256">
        <v>361</v>
      </c>
      <c r="E10" s="256">
        <v>361</v>
      </c>
      <c r="F10" s="256">
        <v>361</v>
      </c>
      <c r="G10" s="257">
        <v>361</v>
      </c>
    </row>
    <row r="11" spans="2:7" x14ac:dyDescent="0.2">
      <c r="B11" s="21" t="s">
        <v>133</v>
      </c>
      <c r="C11" s="12" t="s">
        <v>113</v>
      </c>
      <c r="D11" s="256">
        <f>D10+D9</f>
        <v>361</v>
      </c>
      <c r="E11" s="256">
        <f t="shared" ref="E11:G11" si="0">E10+E9</f>
        <v>759</v>
      </c>
      <c r="F11" s="256">
        <f t="shared" si="0"/>
        <v>793</v>
      </c>
      <c r="G11" s="256">
        <f t="shared" si="0"/>
        <v>872</v>
      </c>
    </row>
    <row r="12" spans="2:7" x14ac:dyDescent="0.2">
      <c r="B12" s="192" t="s">
        <v>135</v>
      </c>
      <c r="C12" s="193" t="s">
        <v>88</v>
      </c>
      <c r="D12" s="194">
        <v>-34</v>
      </c>
      <c r="E12" s="194">
        <v>10</v>
      </c>
      <c r="F12" s="194">
        <v>15</v>
      </c>
      <c r="G12" s="195">
        <v>20</v>
      </c>
    </row>
    <row r="13" spans="2:7" x14ac:dyDescent="0.2">
      <c r="B13" s="192" t="s">
        <v>136</v>
      </c>
      <c r="C13" s="252" t="s">
        <v>81</v>
      </c>
      <c r="D13" s="258">
        <f>D7*(1+D12/100)</f>
        <v>137.93999999999997</v>
      </c>
      <c r="E13" s="258">
        <f t="shared" ref="E13:G13" si="1">E7*(1+E12/100)</f>
        <v>46.750000000000007</v>
      </c>
      <c r="F13" s="258">
        <f t="shared" si="1"/>
        <v>40.25</v>
      </c>
      <c r="G13" s="259">
        <f t="shared" si="1"/>
        <v>33</v>
      </c>
    </row>
    <row r="14" spans="2:7" x14ac:dyDescent="0.2">
      <c r="B14" s="192"/>
      <c r="C14" s="193"/>
      <c r="D14" s="193"/>
      <c r="E14" s="193"/>
      <c r="F14" s="193"/>
      <c r="G14" s="253"/>
    </row>
    <row r="15" spans="2:7" x14ac:dyDescent="0.2">
      <c r="B15" s="254" t="s">
        <v>25</v>
      </c>
      <c r="C15" s="193"/>
      <c r="D15" s="193"/>
      <c r="E15" s="193"/>
      <c r="F15" s="193"/>
      <c r="G15" s="253"/>
    </row>
    <row r="16" spans="2:7" x14ac:dyDescent="0.2">
      <c r="B16" s="192" t="s">
        <v>28</v>
      </c>
      <c r="C16" s="193" t="s">
        <v>29</v>
      </c>
      <c r="D16" s="193"/>
      <c r="E16" s="260">
        <f>E9*E4</f>
        <v>62486</v>
      </c>
      <c r="F16" s="260">
        <f t="shared" ref="F16:G16" si="2">F9*F4</f>
        <v>67824</v>
      </c>
      <c r="G16" s="260">
        <f t="shared" si="2"/>
        <v>80227</v>
      </c>
    </row>
    <row r="17" spans="2:7" x14ac:dyDescent="0.2">
      <c r="B17" s="192" t="s">
        <v>30</v>
      </c>
      <c r="C17" s="193" t="s">
        <v>29</v>
      </c>
      <c r="D17" s="260">
        <f>D4*E10</f>
        <v>56677</v>
      </c>
      <c r="E17" s="260">
        <f>E4*E10</f>
        <v>56677</v>
      </c>
      <c r="F17" s="260">
        <f t="shared" ref="F17:G17" si="3">F4*F10</f>
        <v>56677</v>
      </c>
      <c r="G17" s="260">
        <f t="shared" si="3"/>
        <v>56677</v>
      </c>
    </row>
    <row r="18" spans="2:7" x14ac:dyDescent="0.2">
      <c r="B18" s="192" t="s">
        <v>31</v>
      </c>
      <c r="C18" s="193" t="s">
        <v>29</v>
      </c>
      <c r="D18" s="193"/>
      <c r="E18" s="193">
        <f>E16+E17</f>
        <v>119163</v>
      </c>
      <c r="F18" s="193">
        <f t="shared" ref="F18:G18" si="4">F16+F17</f>
        <v>124501</v>
      </c>
      <c r="G18" s="193">
        <f t="shared" si="4"/>
        <v>136904</v>
      </c>
    </row>
    <row r="19" spans="2:7" x14ac:dyDescent="0.2">
      <c r="B19" s="192" t="s">
        <v>32</v>
      </c>
      <c r="C19" s="193" t="s">
        <v>33</v>
      </c>
      <c r="D19" s="193"/>
      <c r="E19" s="193">
        <v>0.06</v>
      </c>
      <c r="F19" s="193">
        <v>0.06</v>
      </c>
      <c r="G19" s="253">
        <v>0.06</v>
      </c>
    </row>
    <row r="20" spans="2:7" x14ac:dyDescent="0.2">
      <c r="B20" s="192"/>
      <c r="C20" s="193"/>
      <c r="D20" s="193"/>
      <c r="E20" s="193"/>
      <c r="F20" s="193"/>
      <c r="G20" s="253"/>
    </row>
    <row r="21" spans="2:7" x14ac:dyDescent="0.2">
      <c r="B21" s="192" t="s">
        <v>139</v>
      </c>
      <c r="C21" s="193" t="s">
        <v>29</v>
      </c>
      <c r="D21" s="193"/>
      <c r="E21" s="261">
        <v>60651</v>
      </c>
      <c r="F21" s="261">
        <v>65363</v>
      </c>
      <c r="G21" s="262">
        <v>76348</v>
      </c>
    </row>
    <row r="22" spans="2:7" x14ac:dyDescent="0.2">
      <c r="B22" s="192" t="s">
        <v>35</v>
      </c>
      <c r="C22" s="193" t="s">
        <v>29</v>
      </c>
      <c r="D22" s="193"/>
      <c r="E22" s="261">
        <v>27608</v>
      </c>
      <c r="F22" s="261">
        <v>28852</v>
      </c>
      <c r="G22" s="262">
        <v>30096</v>
      </c>
    </row>
    <row r="23" spans="2:7" x14ac:dyDescent="0.2">
      <c r="B23" s="192" t="s">
        <v>36</v>
      </c>
      <c r="C23" s="193" t="s">
        <v>29</v>
      </c>
      <c r="D23" s="193"/>
      <c r="E23" s="263">
        <f>E22-E21</f>
        <v>-33043</v>
      </c>
      <c r="F23" s="263">
        <f t="shared" ref="F23:G23" si="5">F22-F21</f>
        <v>-36511</v>
      </c>
      <c r="G23" s="264">
        <f t="shared" si="5"/>
        <v>-46252</v>
      </c>
    </row>
    <row r="24" spans="2:7" x14ac:dyDescent="0.2">
      <c r="B24" s="192" t="s">
        <v>37</v>
      </c>
      <c r="C24" s="193" t="s">
        <v>38</v>
      </c>
      <c r="D24" s="193"/>
      <c r="E24" s="193">
        <v>0.13200000000000001</v>
      </c>
      <c r="F24" s="193">
        <v>0.13600000000000001</v>
      </c>
      <c r="G24" s="253">
        <v>0.153</v>
      </c>
    </row>
    <row r="25" spans="2:7" x14ac:dyDescent="0.2">
      <c r="B25" s="14" t="s">
        <v>140</v>
      </c>
      <c r="C25" s="15"/>
      <c r="D25" s="193"/>
      <c r="E25" s="193" t="s">
        <v>60</v>
      </c>
      <c r="F25" s="193" t="s">
        <v>60</v>
      </c>
      <c r="G25" s="193" t="s">
        <v>60</v>
      </c>
    </row>
    <row r="26" spans="2:7" x14ac:dyDescent="0.2">
      <c r="B26" s="14" t="s">
        <v>141</v>
      </c>
      <c r="C26" s="15"/>
      <c r="D26" s="193"/>
      <c r="E26" s="193">
        <v>479</v>
      </c>
      <c r="F26" s="193">
        <v>497</v>
      </c>
      <c r="G26" s="253">
        <v>564</v>
      </c>
    </row>
    <row r="27" spans="2:7" x14ac:dyDescent="0.2">
      <c r="B27" s="192"/>
      <c r="C27" s="193"/>
      <c r="D27" s="193"/>
      <c r="E27" s="193"/>
      <c r="F27" s="193"/>
      <c r="G27" s="253"/>
    </row>
    <row r="28" spans="2:7" x14ac:dyDescent="0.2">
      <c r="B28" s="192" t="s">
        <v>142</v>
      </c>
      <c r="C28" s="193" t="s">
        <v>29</v>
      </c>
      <c r="D28" s="193"/>
      <c r="E28" s="261">
        <v>60651</v>
      </c>
      <c r="F28" s="261">
        <v>65363</v>
      </c>
      <c r="G28" s="262">
        <v>76348</v>
      </c>
    </row>
    <row r="29" spans="2:7" x14ac:dyDescent="0.2">
      <c r="B29" s="192" t="s">
        <v>43</v>
      </c>
      <c r="C29" s="193" t="s">
        <v>29</v>
      </c>
      <c r="D29" s="193"/>
      <c r="E29" s="261">
        <v>15106</v>
      </c>
      <c r="F29" s="261">
        <v>16184</v>
      </c>
      <c r="G29" s="262">
        <v>17394</v>
      </c>
    </row>
    <row r="30" spans="2:7" x14ac:dyDescent="0.2">
      <c r="B30" s="192" t="s">
        <v>44</v>
      </c>
      <c r="C30" s="193" t="s">
        <v>29</v>
      </c>
      <c r="D30" s="193"/>
      <c r="E30" s="263">
        <f>E29-E28</f>
        <v>-45545</v>
      </c>
      <c r="F30" s="263">
        <f t="shared" ref="F30:G30" si="6">F29-F28</f>
        <v>-49179</v>
      </c>
      <c r="G30" s="264">
        <f t="shared" si="6"/>
        <v>-58954</v>
      </c>
    </row>
    <row r="31" spans="2:7" x14ac:dyDescent="0.2">
      <c r="B31" s="192" t="s">
        <v>45</v>
      </c>
      <c r="C31" s="193" t="s">
        <v>38</v>
      </c>
      <c r="D31" s="193"/>
      <c r="E31" s="193">
        <v>0.24099999999999999</v>
      </c>
      <c r="F31" s="193">
        <v>0.24299999999999999</v>
      </c>
      <c r="G31" s="253">
        <v>0.26400000000000001</v>
      </c>
    </row>
    <row r="32" spans="2:7" x14ac:dyDescent="0.2">
      <c r="B32" s="14" t="s">
        <v>140</v>
      </c>
      <c r="C32" s="15"/>
      <c r="D32" s="193"/>
      <c r="E32" s="193" t="s">
        <v>60</v>
      </c>
      <c r="F32" s="193" t="s">
        <v>60</v>
      </c>
      <c r="G32" s="253" t="s">
        <v>60</v>
      </c>
    </row>
    <row r="33" spans="2:7" x14ac:dyDescent="0.2">
      <c r="B33" s="14" t="s">
        <v>141</v>
      </c>
      <c r="C33" s="15"/>
      <c r="D33" s="193"/>
      <c r="E33" s="193">
        <v>874</v>
      </c>
      <c r="F33" s="193">
        <v>886</v>
      </c>
      <c r="G33" s="253">
        <v>975</v>
      </c>
    </row>
    <row r="34" spans="2:7" x14ac:dyDescent="0.2">
      <c r="B34" s="192"/>
      <c r="C34" s="193"/>
      <c r="D34" s="193"/>
      <c r="E34" s="193"/>
      <c r="F34" s="193"/>
      <c r="G34" s="253"/>
    </row>
    <row r="35" spans="2:7" x14ac:dyDescent="0.2">
      <c r="B35" s="192" t="s">
        <v>47</v>
      </c>
      <c r="C35" s="193" t="s">
        <v>48</v>
      </c>
      <c r="D35" s="193"/>
      <c r="E35" s="194">
        <f>(E30-E23)/E30*100</f>
        <v>27.449774947853772</v>
      </c>
      <c r="F35" s="194">
        <f t="shared" ref="F35:G35" si="7">(F30-F23)/F30*100</f>
        <v>25.758962158644948</v>
      </c>
      <c r="G35" s="195">
        <f t="shared" si="7"/>
        <v>21.545611832954506</v>
      </c>
    </row>
    <row r="36" spans="2:7" x14ac:dyDescent="0.2">
      <c r="B36" s="192"/>
      <c r="C36" s="193"/>
      <c r="D36" s="193"/>
      <c r="E36" s="193"/>
      <c r="F36" s="193"/>
      <c r="G36" s="253"/>
    </row>
    <row r="37" spans="2:7" x14ac:dyDescent="0.2">
      <c r="B37" s="254" t="s">
        <v>49</v>
      </c>
      <c r="C37" s="193"/>
      <c r="D37" s="193"/>
      <c r="E37" s="193"/>
      <c r="F37" s="193"/>
      <c r="G37" s="253"/>
    </row>
    <row r="38" spans="2:7" x14ac:dyDescent="0.2">
      <c r="B38" s="192" t="s">
        <v>28</v>
      </c>
      <c r="C38" s="193" t="s">
        <v>29</v>
      </c>
      <c r="D38" s="260"/>
      <c r="E38" s="260">
        <f>E16*1.34</f>
        <v>83731.240000000005</v>
      </c>
      <c r="F38" s="260">
        <f t="shared" ref="F38:G38" si="8">F16*1.34</f>
        <v>90884.160000000003</v>
      </c>
      <c r="G38" s="260">
        <f t="shared" si="8"/>
        <v>107504.18000000001</v>
      </c>
    </row>
    <row r="39" spans="2:7" x14ac:dyDescent="0.2">
      <c r="B39" s="192" t="s">
        <v>30</v>
      </c>
      <c r="C39" s="193" t="s">
        <v>29</v>
      </c>
      <c r="D39" s="260">
        <f>D17*1.34</f>
        <v>75947.180000000008</v>
      </c>
      <c r="E39" s="260">
        <f t="shared" ref="E39:G39" si="9">E17*1.34</f>
        <v>75947.180000000008</v>
      </c>
      <c r="F39" s="260">
        <f t="shared" si="9"/>
        <v>75947.180000000008</v>
      </c>
      <c r="G39" s="260">
        <f t="shared" si="9"/>
        <v>75947.180000000008</v>
      </c>
    </row>
    <row r="40" spans="2:7" x14ac:dyDescent="0.2">
      <c r="B40" s="192" t="s">
        <v>31</v>
      </c>
      <c r="C40" s="193" t="s">
        <v>29</v>
      </c>
      <c r="D40" s="260"/>
      <c r="E40" s="260">
        <f>E38+E39</f>
        <v>159678.42000000001</v>
      </c>
      <c r="F40" s="260">
        <f t="shared" ref="F40:G40" si="10">F38+F39</f>
        <v>166831.34000000003</v>
      </c>
      <c r="G40" s="265">
        <f t="shared" si="10"/>
        <v>183451.36000000002</v>
      </c>
    </row>
    <row r="41" spans="2:7" x14ac:dyDescent="0.2">
      <c r="B41" s="192" t="s">
        <v>144</v>
      </c>
      <c r="C41" s="193" t="s">
        <v>33</v>
      </c>
      <c r="D41" s="193"/>
      <c r="E41" s="193">
        <v>0.09</v>
      </c>
      <c r="F41" s="193">
        <v>0.09</v>
      </c>
      <c r="G41" s="253">
        <v>0.09</v>
      </c>
    </row>
    <row r="42" spans="2:7" x14ac:dyDescent="0.2">
      <c r="B42" s="192"/>
      <c r="C42" s="193"/>
      <c r="D42" s="193"/>
      <c r="E42" s="193"/>
      <c r="F42" s="193"/>
      <c r="G42" s="253"/>
    </row>
    <row r="43" spans="2:7" x14ac:dyDescent="0.2">
      <c r="B43" s="192" t="s">
        <v>145</v>
      </c>
      <c r="C43" s="193" t="s">
        <v>29</v>
      </c>
      <c r="D43" s="193"/>
      <c r="E43" s="261">
        <v>86140</v>
      </c>
      <c r="F43" s="261">
        <v>92792</v>
      </c>
      <c r="G43" s="262">
        <v>108250</v>
      </c>
    </row>
    <row r="44" spans="2:7" x14ac:dyDescent="0.2">
      <c r="B44" s="192" t="s">
        <v>35</v>
      </c>
      <c r="C44" s="193" t="s">
        <v>29</v>
      </c>
      <c r="D44" s="193"/>
      <c r="E44" s="261">
        <v>32345</v>
      </c>
      <c r="F44" s="261">
        <v>33801</v>
      </c>
      <c r="G44" s="262">
        <v>35259</v>
      </c>
    </row>
    <row r="45" spans="2:7" x14ac:dyDescent="0.2">
      <c r="B45" s="192" t="s">
        <v>36</v>
      </c>
      <c r="C45" s="193" t="s">
        <v>29</v>
      </c>
      <c r="D45" s="193"/>
      <c r="E45" s="263">
        <f>E44-E43</f>
        <v>-53795</v>
      </c>
      <c r="F45" s="263">
        <f t="shared" ref="F45:G45" si="11">F44-F43</f>
        <v>-58991</v>
      </c>
      <c r="G45" s="264">
        <f t="shared" si="11"/>
        <v>-72991</v>
      </c>
    </row>
    <row r="46" spans="2:7" ht="12.6" customHeight="1" x14ac:dyDescent="0.2">
      <c r="B46" s="192" t="s">
        <v>37</v>
      </c>
      <c r="C46" s="193" t="s">
        <v>38</v>
      </c>
      <c r="D46" s="193"/>
      <c r="E46" s="193">
        <v>0.249</v>
      </c>
      <c r="F46" s="193">
        <v>0.25700000000000001</v>
      </c>
      <c r="G46" s="253">
        <v>0.28799999999999998</v>
      </c>
    </row>
    <row r="47" spans="2:7" ht="12.6" customHeight="1" x14ac:dyDescent="0.2">
      <c r="B47" s="14" t="s">
        <v>140</v>
      </c>
      <c r="C47" s="15"/>
      <c r="D47" s="193"/>
      <c r="E47" s="193" t="s">
        <v>60</v>
      </c>
      <c r="F47" s="193" t="s">
        <v>60</v>
      </c>
      <c r="G47" s="253" t="s">
        <v>60</v>
      </c>
    </row>
    <row r="48" spans="2:7" ht="12.6" customHeight="1" x14ac:dyDescent="0.2">
      <c r="B48" s="14" t="s">
        <v>141</v>
      </c>
      <c r="C48" s="15"/>
      <c r="D48" s="193"/>
      <c r="E48" s="193">
        <v>403</v>
      </c>
      <c r="F48" s="193">
        <v>419</v>
      </c>
      <c r="G48" s="253">
        <v>475</v>
      </c>
    </row>
    <row r="49" spans="2:7" x14ac:dyDescent="0.2">
      <c r="B49" s="192"/>
      <c r="C49" s="193"/>
      <c r="D49" s="193"/>
      <c r="E49" s="193"/>
      <c r="F49" s="193"/>
      <c r="G49" s="253"/>
    </row>
    <row r="50" spans="2:7" x14ac:dyDescent="0.2">
      <c r="B50" s="192" t="s">
        <v>146</v>
      </c>
      <c r="C50" s="193" t="s">
        <v>29</v>
      </c>
      <c r="D50" s="193"/>
      <c r="E50" s="261">
        <v>86140</v>
      </c>
      <c r="F50" s="261">
        <v>92792</v>
      </c>
      <c r="G50" s="262">
        <v>108250</v>
      </c>
    </row>
    <row r="51" spans="2:7" x14ac:dyDescent="0.2">
      <c r="B51" s="192" t="s">
        <v>43</v>
      </c>
      <c r="C51" s="193" t="s">
        <v>29</v>
      </c>
      <c r="D51" s="193"/>
      <c r="E51" s="261">
        <v>17697</v>
      </c>
      <c r="F51" s="261">
        <v>18959</v>
      </c>
      <c r="G51" s="262">
        <v>20378</v>
      </c>
    </row>
    <row r="52" spans="2:7" x14ac:dyDescent="0.2">
      <c r="B52" s="192" t="s">
        <v>44</v>
      </c>
      <c r="C52" s="193" t="s">
        <v>29</v>
      </c>
      <c r="D52" s="193"/>
      <c r="E52" s="263">
        <f>E51-E50</f>
        <v>-68443</v>
      </c>
      <c r="F52" s="263">
        <f t="shared" ref="F52:G52" si="12">F51-F50</f>
        <v>-73833</v>
      </c>
      <c r="G52" s="264">
        <f t="shared" si="12"/>
        <v>-87872</v>
      </c>
    </row>
    <row r="53" spans="2:7" x14ac:dyDescent="0.2">
      <c r="B53" s="192" t="s">
        <v>45</v>
      </c>
      <c r="C53" s="193" t="s">
        <v>38</v>
      </c>
      <c r="D53" s="193"/>
      <c r="E53" s="193">
        <v>0.46</v>
      </c>
      <c r="F53" s="193">
        <v>0.46200000000000002</v>
      </c>
      <c r="G53" s="253">
        <v>0.502</v>
      </c>
    </row>
    <row r="54" spans="2:7" x14ac:dyDescent="0.2">
      <c r="B54" s="14" t="s">
        <v>140</v>
      </c>
      <c r="C54" s="15"/>
      <c r="D54" s="193"/>
      <c r="E54" s="193" t="s">
        <v>60</v>
      </c>
      <c r="F54" s="193" t="s">
        <v>60</v>
      </c>
      <c r="G54" s="253" t="s">
        <v>60</v>
      </c>
    </row>
    <row r="55" spans="2:7" x14ac:dyDescent="0.2">
      <c r="B55" s="14" t="s">
        <v>141</v>
      </c>
      <c r="C55" s="15"/>
      <c r="D55" s="193"/>
      <c r="E55" s="193">
        <v>736</v>
      </c>
      <c r="F55" s="193">
        <v>746</v>
      </c>
      <c r="G55" s="253">
        <v>821</v>
      </c>
    </row>
    <row r="56" spans="2:7" x14ac:dyDescent="0.2">
      <c r="B56" s="192"/>
      <c r="C56" s="193"/>
      <c r="D56" s="193"/>
      <c r="E56" s="193"/>
      <c r="F56" s="193"/>
      <c r="G56" s="253"/>
    </row>
    <row r="57" spans="2:7" x14ac:dyDescent="0.2">
      <c r="B57" s="192" t="s">
        <v>47</v>
      </c>
      <c r="C57" s="193" t="s">
        <v>48</v>
      </c>
      <c r="D57" s="193"/>
      <c r="E57" s="194">
        <f>(E52-E45)/E52*100</f>
        <v>21.401750361614774</v>
      </c>
      <c r="F57" s="194">
        <f t="shared" ref="F57:G57" si="13">(F52-F45)/F52*100</f>
        <v>20.102122357211545</v>
      </c>
      <c r="G57" s="195">
        <f t="shared" si="13"/>
        <v>16.934859796067006</v>
      </c>
    </row>
    <row r="58" spans="2:7" ht="12.75" thickBot="1" x14ac:dyDescent="0.25">
      <c r="B58" s="266"/>
      <c r="C58" s="267"/>
      <c r="D58" s="267"/>
      <c r="E58" s="267"/>
      <c r="F58" s="267"/>
      <c r="G58" s="268"/>
    </row>
    <row r="60" spans="2:7" x14ac:dyDescent="0.2">
      <c r="B60" s="193" t="s">
        <v>62</v>
      </c>
      <c r="C60" s="193"/>
      <c r="D60" s="194"/>
      <c r="E60" s="194">
        <f>E45/E43*(-100)</f>
        <v>62.450661713489666</v>
      </c>
      <c r="F60" s="194">
        <f t="shared" ref="F60:G60" si="14">F45/F43*(-100)</f>
        <v>63.573368393827053</v>
      </c>
      <c r="G60" s="194">
        <f t="shared" si="14"/>
        <v>67.428175519630486</v>
      </c>
    </row>
    <row r="61" spans="2:7" x14ac:dyDescent="0.2">
      <c r="B61" s="193" t="s">
        <v>63</v>
      </c>
      <c r="C61" s="193"/>
      <c r="D61" s="193"/>
      <c r="E61" s="194">
        <f>E52/E50*(-100)</f>
        <v>79.455537497097751</v>
      </c>
      <c r="F61" s="194">
        <f t="shared" ref="F61:G61" si="15">F52/F50*(-100)</f>
        <v>79.568281748426585</v>
      </c>
      <c r="G61" s="194">
        <f t="shared" si="15"/>
        <v>81.175057736720561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MFH57</vt:lpstr>
      <vt:lpstr>GMFH68</vt:lpstr>
      <vt:lpstr>GMFH78</vt:lpstr>
      <vt:lpstr>ZFH48</vt:lpstr>
      <vt:lpstr>EFH68</vt:lpstr>
      <vt:lpstr>EFH78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Galvin, Raymond</cp:lastModifiedBy>
  <dcterms:created xsi:type="dcterms:W3CDTF">2023-07-21T13:26:56Z</dcterms:created>
  <dcterms:modified xsi:type="dcterms:W3CDTF">2023-11-07T12:53:11Z</dcterms:modified>
</cp:coreProperties>
</file>